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8035" windowHeight="12570"/>
  </bookViews>
  <sheets>
    <sheet name="上证Ａ股" sheetId="1" r:id="rId1"/>
  </sheets>
  <calcPr calcId="0"/>
</workbook>
</file>

<file path=xl/calcChain.xml><?xml version="1.0" encoding="utf-8"?>
<calcChain xmlns="http://schemas.openxmlformats.org/spreadsheetml/2006/main">
  <c r="A2" i="1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</calcChain>
</file>

<file path=xl/sharedStrings.xml><?xml version="1.0" encoding="utf-8"?>
<sst xmlns="http://schemas.openxmlformats.org/spreadsheetml/2006/main" count="4135" uniqueCount="1112">
  <si>
    <t>代码</t>
  </si>
  <si>
    <t>名称</t>
  </si>
  <si>
    <t>涨幅%%</t>
  </si>
  <si>
    <t>现价</t>
  </si>
  <si>
    <t>涨跌</t>
  </si>
  <si>
    <t>买价</t>
  </si>
  <si>
    <t>卖价</t>
  </si>
  <si>
    <t>总量</t>
  </si>
  <si>
    <t>现量</t>
  </si>
  <si>
    <t>涨速%%</t>
  </si>
  <si>
    <t>换手%%</t>
  </si>
  <si>
    <t>今开</t>
  </si>
  <si>
    <t>最高</t>
  </si>
  <si>
    <t>最低</t>
  </si>
  <si>
    <t>昨收</t>
  </si>
  <si>
    <t>市盈(动)</t>
  </si>
  <si>
    <t>总金额</t>
  </si>
  <si>
    <t>量比</t>
  </si>
  <si>
    <t>细分行业</t>
  </si>
  <si>
    <t>地区</t>
  </si>
  <si>
    <t>振幅%%</t>
  </si>
  <si>
    <t>均价</t>
  </si>
  <si>
    <t>内盘</t>
  </si>
  <si>
    <t>外盘</t>
  </si>
  <si>
    <t>内外比</t>
  </si>
  <si>
    <t>买量</t>
  </si>
  <si>
    <t>卖量</t>
  </si>
  <si>
    <t>未匹配量</t>
  </si>
  <si>
    <t>浦发银行</t>
  </si>
  <si>
    <t>银行</t>
  </si>
  <si>
    <t>上海</t>
  </si>
  <si>
    <t xml:space="preserve">--  </t>
  </si>
  <si>
    <t>白云机场</t>
  </si>
  <si>
    <t>机场</t>
  </si>
  <si>
    <t>广东</t>
  </si>
  <si>
    <t>武钢股份</t>
  </si>
  <si>
    <t>普钢</t>
  </si>
  <si>
    <t>湖北</t>
  </si>
  <si>
    <t>东风汽车</t>
  </si>
  <si>
    <t>汽车整车</t>
  </si>
  <si>
    <t>中国国贸</t>
  </si>
  <si>
    <t>园区开发</t>
  </si>
  <si>
    <t>北京</t>
  </si>
  <si>
    <t>首创股份</t>
  </si>
  <si>
    <t>环境保护</t>
  </si>
  <si>
    <t>上海机场</t>
  </si>
  <si>
    <t>包钢股份</t>
  </si>
  <si>
    <t>内蒙</t>
  </si>
  <si>
    <t>华能国际</t>
  </si>
  <si>
    <t>火力发电</t>
  </si>
  <si>
    <t>皖通高速</t>
  </si>
  <si>
    <t>路桥</t>
  </si>
  <si>
    <t>安徽</t>
  </si>
  <si>
    <t>华夏银行</t>
  </si>
  <si>
    <t>民生银行</t>
  </si>
  <si>
    <t>日照港</t>
  </si>
  <si>
    <t>港口</t>
  </si>
  <si>
    <t>山东</t>
  </si>
  <si>
    <t>上港集团</t>
  </si>
  <si>
    <t>宝钢股份</t>
  </si>
  <si>
    <t>中原高速</t>
  </si>
  <si>
    <t>河南</t>
  </si>
  <si>
    <t>上海电力</t>
  </si>
  <si>
    <t>山东钢铁</t>
  </si>
  <si>
    <t>中海发展</t>
  </si>
  <si>
    <t>水运</t>
  </si>
  <si>
    <t>华电国际</t>
  </si>
  <si>
    <t>中国石化</t>
  </si>
  <si>
    <t>石油加工</t>
  </si>
  <si>
    <t>南方航空</t>
  </si>
  <si>
    <t>空运</t>
  </si>
  <si>
    <t>中信证券</t>
  </si>
  <si>
    <t>证券</t>
  </si>
  <si>
    <t>深圳</t>
  </si>
  <si>
    <t>三一重工</t>
  </si>
  <si>
    <t>工程机械</t>
  </si>
  <si>
    <t>湖南</t>
  </si>
  <si>
    <t>福建高速</t>
  </si>
  <si>
    <t>福建</t>
  </si>
  <si>
    <t>楚天高速</t>
  </si>
  <si>
    <t>招商银行</t>
  </si>
  <si>
    <t>歌华有线</t>
  </si>
  <si>
    <t>影视音像</t>
  </si>
  <si>
    <t>哈飞股份</t>
  </si>
  <si>
    <t>航空航天</t>
  </si>
  <si>
    <t>黑龙江</t>
  </si>
  <si>
    <t>四川路桥</t>
  </si>
  <si>
    <t>建筑施工</t>
  </si>
  <si>
    <t>四川</t>
  </si>
  <si>
    <t>保利地产</t>
  </si>
  <si>
    <t>全国地产</t>
  </si>
  <si>
    <t>中国联通</t>
  </si>
  <si>
    <t>电信运营</t>
  </si>
  <si>
    <t>宁波联合</t>
  </si>
  <si>
    <t>综合类</t>
  </si>
  <si>
    <t>浙江</t>
  </si>
  <si>
    <t>浙江广厦</t>
  </si>
  <si>
    <t>区域地产</t>
  </si>
  <si>
    <t>中江地产</t>
  </si>
  <si>
    <t>江西</t>
  </si>
  <si>
    <t>黄山旅游</t>
  </si>
  <si>
    <t>旅游景点</t>
  </si>
  <si>
    <t>华润万东</t>
  </si>
  <si>
    <t>医疗保健</t>
  </si>
  <si>
    <t>中国医药</t>
  </si>
  <si>
    <t>医药连锁</t>
  </si>
  <si>
    <t>象屿股份</t>
  </si>
  <si>
    <t>仓储物流</t>
  </si>
  <si>
    <t>五矿发展</t>
  </si>
  <si>
    <t>商贸代理</t>
  </si>
  <si>
    <t>古越龙山</t>
  </si>
  <si>
    <t>红黄药酒</t>
  </si>
  <si>
    <t>海信电器</t>
  </si>
  <si>
    <t>家用电器</t>
  </si>
  <si>
    <t>中纺投资</t>
  </si>
  <si>
    <t>化纤</t>
  </si>
  <si>
    <t>华润双鹤</t>
  </si>
  <si>
    <t>化学制药</t>
  </si>
  <si>
    <t>皖维高新</t>
  </si>
  <si>
    <t>南京高科</t>
  </si>
  <si>
    <t>江苏</t>
  </si>
  <si>
    <t>宇通客车</t>
  </si>
  <si>
    <t>冠城大通</t>
  </si>
  <si>
    <t>葛洲坝</t>
  </si>
  <si>
    <t>银鸽投资</t>
  </si>
  <si>
    <t>造纸</t>
  </si>
  <si>
    <t>浙江富润</t>
  </si>
  <si>
    <t>纺织</t>
  </si>
  <si>
    <t>凤凰光学</t>
  </si>
  <si>
    <t>文教休闲</t>
  </si>
  <si>
    <t>中船股份</t>
  </si>
  <si>
    <t>船舶</t>
  </si>
  <si>
    <t>上海梅林</t>
  </si>
  <si>
    <t>食品</t>
  </si>
  <si>
    <t>*ST中达</t>
  </si>
  <si>
    <t>塑料</t>
  </si>
  <si>
    <t>新疆天业</t>
  </si>
  <si>
    <t>化工原料</t>
  </si>
  <si>
    <t>新疆</t>
  </si>
  <si>
    <t>青鸟华光</t>
  </si>
  <si>
    <t>通信设备</t>
  </si>
  <si>
    <t>宋都股份</t>
  </si>
  <si>
    <t>辽宁</t>
  </si>
  <si>
    <t>澄星股份</t>
  </si>
  <si>
    <t>人福医药</t>
  </si>
  <si>
    <t>生物制药</t>
  </si>
  <si>
    <t>金花股份</t>
  </si>
  <si>
    <t>陕西</t>
  </si>
  <si>
    <t>东风科技</t>
  </si>
  <si>
    <t>汽车配件</t>
  </si>
  <si>
    <t>海泰发展</t>
  </si>
  <si>
    <t>天津</t>
  </si>
  <si>
    <t>博信股份</t>
  </si>
  <si>
    <t>元器件</t>
  </si>
  <si>
    <t>中葡股份</t>
  </si>
  <si>
    <t>同仁堂</t>
  </si>
  <si>
    <t>中成药</t>
  </si>
  <si>
    <t>东方金钰</t>
  </si>
  <si>
    <t>服饰</t>
  </si>
  <si>
    <t>中视传媒</t>
  </si>
  <si>
    <t>特变电工</t>
  </si>
  <si>
    <t>电气设备</t>
  </si>
  <si>
    <t>啤酒花</t>
  </si>
  <si>
    <t>啤酒</t>
  </si>
  <si>
    <t>ST明科</t>
  </si>
  <si>
    <t>禾嘉股份</t>
  </si>
  <si>
    <t>大名城</t>
  </si>
  <si>
    <t>哈高科</t>
  </si>
  <si>
    <t>云天化</t>
  </si>
  <si>
    <t>农药化肥</t>
  </si>
  <si>
    <t>云南</t>
  </si>
  <si>
    <t>开创国际</t>
  </si>
  <si>
    <t>渔业</t>
  </si>
  <si>
    <t>广州发展</t>
  </si>
  <si>
    <t>林海股份</t>
  </si>
  <si>
    <t>摩托车</t>
  </si>
  <si>
    <t>同方股份</t>
  </si>
  <si>
    <t>电脑设备</t>
  </si>
  <si>
    <t>明星电力</t>
  </si>
  <si>
    <t>水力发电</t>
  </si>
  <si>
    <t>青山纸业</t>
  </si>
  <si>
    <t>上汽集团</t>
  </si>
  <si>
    <t>永鼎股份</t>
  </si>
  <si>
    <t>重庆路桥</t>
  </si>
  <si>
    <t>重庆</t>
  </si>
  <si>
    <t>美尔雅</t>
  </si>
  <si>
    <t>亚盛集团</t>
  </si>
  <si>
    <t>农业综合</t>
  </si>
  <si>
    <t>甘肃</t>
  </si>
  <si>
    <t>国金证券</t>
  </si>
  <si>
    <t>中科英华</t>
  </si>
  <si>
    <t>吉林</t>
  </si>
  <si>
    <t>包钢稀土</t>
  </si>
  <si>
    <t>小金属</t>
  </si>
  <si>
    <t>长征电气</t>
  </si>
  <si>
    <t>贵州</t>
  </si>
  <si>
    <t>浙江东日</t>
  </si>
  <si>
    <t>东睦股份</t>
  </si>
  <si>
    <t>机械基件</t>
  </si>
  <si>
    <t>东方航空</t>
  </si>
  <si>
    <t>三峡水利</t>
  </si>
  <si>
    <t>西宁特钢</t>
  </si>
  <si>
    <t>特钢</t>
  </si>
  <si>
    <t>青海</t>
  </si>
  <si>
    <t>中国卫星</t>
  </si>
  <si>
    <t>长江投资</t>
  </si>
  <si>
    <t>浙江东方</t>
  </si>
  <si>
    <t>郑州煤电</t>
  </si>
  <si>
    <t>煤炭开采</t>
  </si>
  <si>
    <t>宏图高科</t>
  </si>
  <si>
    <t>其他连锁</t>
  </si>
  <si>
    <t>兰花科创</t>
  </si>
  <si>
    <t>山西</t>
  </si>
  <si>
    <t>铁龙物流</t>
  </si>
  <si>
    <t>铁路</t>
  </si>
  <si>
    <t>杭钢股份</t>
  </si>
  <si>
    <t>金健米业</t>
  </si>
  <si>
    <t>弘业股份</t>
  </si>
  <si>
    <t>太极集团</t>
  </si>
  <si>
    <t>波导股份</t>
  </si>
  <si>
    <t>岷江水电</t>
  </si>
  <si>
    <t>重庆啤酒</t>
  </si>
  <si>
    <t>东湖高新</t>
  </si>
  <si>
    <t>乐凯胶片</t>
  </si>
  <si>
    <t>河北</t>
  </si>
  <si>
    <t>道博股份</t>
  </si>
  <si>
    <t>浪莎股份</t>
  </si>
  <si>
    <t>中青旅</t>
  </si>
  <si>
    <t>旅游服务</t>
  </si>
  <si>
    <t>西部资源</t>
  </si>
  <si>
    <t>铜</t>
  </si>
  <si>
    <t>兴发集团</t>
  </si>
  <si>
    <t>金发科技</t>
  </si>
  <si>
    <t>国创能源</t>
  </si>
  <si>
    <t>陶瓷</t>
  </si>
  <si>
    <t>大元股份</t>
  </si>
  <si>
    <t>宁夏</t>
  </si>
  <si>
    <t>长春一东</t>
  </si>
  <si>
    <t>廊坊发展</t>
  </si>
  <si>
    <t>中国船舶</t>
  </si>
  <si>
    <t>航天机电</t>
  </si>
  <si>
    <t>半导体</t>
  </si>
  <si>
    <t>维科精华</t>
  </si>
  <si>
    <t>建发股份</t>
  </si>
  <si>
    <t>*ST宝硕</t>
  </si>
  <si>
    <t>华升股份</t>
  </si>
  <si>
    <t>永泰能源</t>
  </si>
  <si>
    <t>中体产业</t>
  </si>
  <si>
    <t>大龙地产</t>
  </si>
  <si>
    <t>巨化股份</t>
  </si>
  <si>
    <t>天坛生物</t>
  </si>
  <si>
    <t>香江控股</t>
  </si>
  <si>
    <t>福建南纸</t>
  </si>
  <si>
    <t>新日恒力</t>
  </si>
  <si>
    <t>钢加工</t>
  </si>
  <si>
    <t>福田汽车</t>
  </si>
  <si>
    <t>联美控股</t>
  </si>
  <si>
    <t>供气供热</t>
  </si>
  <si>
    <t>武汉控股</t>
  </si>
  <si>
    <t>水务</t>
  </si>
  <si>
    <t>太原重工</t>
  </si>
  <si>
    <t>上海建工</t>
  </si>
  <si>
    <t>上海贝岭</t>
  </si>
  <si>
    <t>黄河旋风</t>
  </si>
  <si>
    <t>矿物制品</t>
  </si>
  <si>
    <t>卧龙地产</t>
  </si>
  <si>
    <t>美都控股</t>
  </si>
  <si>
    <t>中国玻纤</t>
  </si>
  <si>
    <t>玻璃</t>
  </si>
  <si>
    <t>雅戈尔</t>
  </si>
  <si>
    <t>东安动力</t>
  </si>
  <si>
    <t>黑化股份</t>
  </si>
  <si>
    <t>焦炭加工</t>
  </si>
  <si>
    <t>瑞茂通</t>
  </si>
  <si>
    <t>S佳通</t>
  </si>
  <si>
    <t>生益科技</t>
  </si>
  <si>
    <t>光电股份</t>
  </si>
  <si>
    <t>格力地产</t>
  </si>
  <si>
    <t>莲花味精</t>
  </si>
  <si>
    <t>国中水务</t>
  </si>
  <si>
    <t>兖州煤业</t>
  </si>
  <si>
    <t>吉林森工</t>
  </si>
  <si>
    <t>林业</t>
  </si>
  <si>
    <t>锦州港</t>
  </si>
  <si>
    <t>华资实业</t>
  </si>
  <si>
    <t>长城电工</t>
  </si>
  <si>
    <t>创兴资源</t>
  </si>
  <si>
    <t>中牧股份</t>
  </si>
  <si>
    <t>饲料</t>
  </si>
  <si>
    <t>复星医药</t>
  </si>
  <si>
    <t>伊力特</t>
  </si>
  <si>
    <t>白酒</t>
  </si>
  <si>
    <t>大唐电信</t>
  </si>
  <si>
    <t>金种子酒</t>
  </si>
  <si>
    <t>江苏吴中</t>
  </si>
  <si>
    <t>金宇集团</t>
  </si>
  <si>
    <t>哈空调</t>
  </si>
  <si>
    <t>福日电子</t>
  </si>
  <si>
    <t>有研硅股</t>
  </si>
  <si>
    <t>安彩高科</t>
  </si>
  <si>
    <t>新湖中宝</t>
  </si>
  <si>
    <t>罗顿发展</t>
  </si>
  <si>
    <t>海南</t>
  </si>
  <si>
    <t>紫江企业</t>
  </si>
  <si>
    <t>广告包装</t>
  </si>
  <si>
    <t>西藏药业</t>
  </si>
  <si>
    <t>西藏</t>
  </si>
  <si>
    <t>江泉实业</t>
  </si>
  <si>
    <t>亚星客车</t>
  </si>
  <si>
    <t>长春经开</t>
  </si>
  <si>
    <t>浙江医药</t>
  </si>
  <si>
    <t>秦岭水泥</t>
  </si>
  <si>
    <t>水泥</t>
  </si>
  <si>
    <t>全柴动力</t>
  </si>
  <si>
    <t>农用机械</t>
  </si>
  <si>
    <t>南山铝业</t>
  </si>
  <si>
    <t>铝</t>
  </si>
  <si>
    <t>江苏阳光</t>
  </si>
  <si>
    <t>海南航空</t>
  </si>
  <si>
    <t>太龙药业</t>
  </si>
  <si>
    <t>鲁商置业</t>
  </si>
  <si>
    <t>天津松江</t>
  </si>
  <si>
    <t>升华拜克</t>
  </si>
  <si>
    <t>赤天化</t>
  </si>
  <si>
    <t>昌九生化</t>
  </si>
  <si>
    <t>青岛碱业</t>
  </si>
  <si>
    <t>沧州大化</t>
  </si>
  <si>
    <t>凌钢股份</t>
  </si>
  <si>
    <t>金鹰股份</t>
  </si>
  <si>
    <t>大杨创世</t>
  </si>
  <si>
    <t>*ST天龙</t>
  </si>
  <si>
    <t>民丰特纸</t>
  </si>
  <si>
    <t>桂冠电力</t>
  </si>
  <si>
    <t>广西</t>
  </si>
  <si>
    <t>铜峰电子</t>
  </si>
  <si>
    <t>海南椰岛</t>
  </si>
  <si>
    <t>云南城投</t>
  </si>
  <si>
    <t>华业地产</t>
  </si>
  <si>
    <t>时代万恒</t>
  </si>
  <si>
    <t>中昌海运</t>
  </si>
  <si>
    <t>青海华鼎</t>
  </si>
  <si>
    <t>机床制造</t>
  </si>
  <si>
    <t>万通地产</t>
  </si>
  <si>
    <t>成城股份</t>
  </si>
  <si>
    <t>延长化建</t>
  </si>
  <si>
    <t>两面针</t>
  </si>
  <si>
    <t>日用化工</t>
  </si>
  <si>
    <t>南纺股份</t>
  </si>
  <si>
    <t>冠农股份</t>
  </si>
  <si>
    <t>中恒集团</t>
  </si>
  <si>
    <t>鑫科材料</t>
  </si>
  <si>
    <t>广汇能源</t>
  </si>
  <si>
    <t>大湖股份</t>
  </si>
  <si>
    <t>首旅酒店</t>
  </si>
  <si>
    <t>酒店餐饮</t>
  </si>
  <si>
    <t>广晟有色</t>
  </si>
  <si>
    <t>凯乐科技</t>
  </si>
  <si>
    <t>阳光照明</t>
  </si>
  <si>
    <t>北方股份</t>
  </si>
  <si>
    <t>*ST景谷</t>
  </si>
  <si>
    <t>北京城建</t>
  </si>
  <si>
    <t>海正药业</t>
  </si>
  <si>
    <t>国电南自</t>
  </si>
  <si>
    <t>赣粤高速</t>
  </si>
  <si>
    <t>外运发展</t>
  </si>
  <si>
    <t>航天信息</t>
  </si>
  <si>
    <t>开开实业</t>
  </si>
  <si>
    <t>华芳纺织</t>
  </si>
  <si>
    <t>武昌鱼</t>
  </si>
  <si>
    <t>恒瑞医药</t>
  </si>
  <si>
    <t>亿利能源</t>
  </si>
  <si>
    <t>东方创业</t>
  </si>
  <si>
    <t>重庆港九</t>
  </si>
  <si>
    <t>中央商场</t>
  </si>
  <si>
    <t>百货</t>
  </si>
  <si>
    <t>太化股份</t>
  </si>
  <si>
    <t>南钢股份</t>
  </si>
  <si>
    <t>钱江水利</t>
  </si>
  <si>
    <t>浦东建设</t>
  </si>
  <si>
    <t>羚锐制药</t>
  </si>
  <si>
    <t>江苏舜天</t>
  </si>
  <si>
    <t>大恒科技</t>
  </si>
  <si>
    <t>亿阳信通</t>
  </si>
  <si>
    <t>软件服务</t>
  </si>
  <si>
    <t>华仪电气</t>
  </si>
  <si>
    <t>西水股份</t>
  </si>
  <si>
    <t>中电远达</t>
  </si>
  <si>
    <t>三峡新材</t>
  </si>
  <si>
    <t>鄂尔多斯</t>
  </si>
  <si>
    <t>美罗药业</t>
  </si>
  <si>
    <t>安琪酵母</t>
  </si>
  <si>
    <t>蓝星新材</t>
  </si>
  <si>
    <t>维维股份</t>
  </si>
  <si>
    <t>软饮料</t>
  </si>
  <si>
    <t>*ST南化</t>
  </si>
  <si>
    <t>标准股份</t>
  </si>
  <si>
    <t>纺织机械</t>
  </si>
  <si>
    <t>曙光股份</t>
  </si>
  <si>
    <t>恒顺醋业</t>
  </si>
  <si>
    <t>商业城</t>
  </si>
  <si>
    <t>酒钢宏兴</t>
  </si>
  <si>
    <t>华泰股份</t>
  </si>
  <si>
    <t>万华化学</t>
  </si>
  <si>
    <t>桂东电力</t>
  </si>
  <si>
    <t>荣华实业</t>
  </si>
  <si>
    <t>黄金</t>
  </si>
  <si>
    <t>平高电气</t>
  </si>
  <si>
    <t>中农资源</t>
  </si>
  <si>
    <t>种植业</t>
  </si>
  <si>
    <t>上海家化</t>
  </si>
  <si>
    <t>洪都航空</t>
  </si>
  <si>
    <t>营口港</t>
  </si>
  <si>
    <t>巢东股份</t>
  </si>
  <si>
    <t>*ST亚星</t>
  </si>
  <si>
    <t>振华重工</t>
  </si>
  <si>
    <t>国栋建设</t>
  </si>
  <si>
    <t>其他建材</t>
  </si>
  <si>
    <t>天房发展</t>
  </si>
  <si>
    <t>南海发展</t>
  </si>
  <si>
    <t>华发股份</t>
  </si>
  <si>
    <t>西藏天路</t>
  </si>
  <si>
    <t>大东方</t>
  </si>
  <si>
    <t>兰太实业</t>
  </si>
  <si>
    <t>中新药业</t>
  </si>
  <si>
    <t>天通股份</t>
  </si>
  <si>
    <t>宏达股份</t>
  </si>
  <si>
    <t>铅锌</t>
  </si>
  <si>
    <t>白云山</t>
  </si>
  <si>
    <t>长春燃气</t>
  </si>
  <si>
    <t>国机汽车</t>
  </si>
  <si>
    <t>澳柯玛</t>
  </si>
  <si>
    <t>美克股份</t>
  </si>
  <si>
    <t>家居用品</t>
  </si>
  <si>
    <t>西藏珠峰</t>
  </si>
  <si>
    <t>天利高新</t>
  </si>
  <si>
    <t>华夏幸福</t>
  </si>
  <si>
    <t>航天动力</t>
  </si>
  <si>
    <t>长江通信</t>
  </si>
  <si>
    <t>大橡塑</t>
  </si>
  <si>
    <t>化工机械</t>
  </si>
  <si>
    <t>阳泉煤业</t>
  </si>
  <si>
    <t>山东高速</t>
  </si>
  <si>
    <t>亚宝药业</t>
  </si>
  <si>
    <t>浙江龙盛</t>
  </si>
  <si>
    <t>染料涂料</t>
  </si>
  <si>
    <t>旭光股份</t>
  </si>
  <si>
    <t>敦煌种业</t>
  </si>
  <si>
    <t>精伦电子</t>
  </si>
  <si>
    <t>恒丰纸业</t>
  </si>
  <si>
    <t>*ST联合</t>
  </si>
  <si>
    <t>新农开发</t>
  </si>
  <si>
    <t>华微电子</t>
  </si>
  <si>
    <t>华联综超</t>
  </si>
  <si>
    <t>超市连锁</t>
  </si>
  <si>
    <t>江西铜业</t>
  </si>
  <si>
    <t>联创光电</t>
  </si>
  <si>
    <t>通葡股份</t>
  </si>
  <si>
    <t>宁波韵升</t>
  </si>
  <si>
    <t>电器仪表</t>
  </si>
  <si>
    <t>红星发展</t>
  </si>
  <si>
    <t>五洲交通</t>
  </si>
  <si>
    <t>西南证券</t>
  </si>
  <si>
    <t>三房巷</t>
  </si>
  <si>
    <t>万向德农</t>
  </si>
  <si>
    <t>中航电子</t>
  </si>
  <si>
    <t>中文传媒</t>
  </si>
  <si>
    <t>出版业</t>
  </si>
  <si>
    <t>华菱星马</t>
  </si>
  <si>
    <t>首开股份</t>
  </si>
  <si>
    <t>宁沪高速</t>
  </si>
  <si>
    <t>天科股份</t>
  </si>
  <si>
    <t>宝光股份</t>
  </si>
  <si>
    <t>健康元</t>
  </si>
  <si>
    <t>*ST贤成</t>
  </si>
  <si>
    <t>广东明珠</t>
  </si>
  <si>
    <t>金地集团</t>
  </si>
  <si>
    <t>北巴传媒</t>
  </si>
  <si>
    <t>公共交通</t>
  </si>
  <si>
    <t>海越股份</t>
  </si>
  <si>
    <t>石油贸易</t>
  </si>
  <si>
    <t>龙净环保</t>
  </si>
  <si>
    <t>专用机械</t>
  </si>
  <si>
    <t>江山股份</t>
  </si>
  <si>
    <t>金瑞科技</t>
  </si>
  <si>
    <t>成发科技</t>
  </si>
  <si>
    <t>盛和资源</t>
  </si>
  <si>
    <t>东华实业</t>
  </si>
  <si>
    <t>盘江股份</t>
  </si>
  <si>
    <t>金山股份</t>
  </si>
  <si>
    <t>安源煤业</t>
  </si>
  <si>
    <t>凯诺科技</t>
  </si>
  <si>
    <t>抚顺特钢</t>
  </si>
  <si>
    <t>红豆股份</t>
  </si>
  <si>
    <t>海润光伏</t>
  </si>
  <si>
    <t>大有能源</t>
  </si>
  <si>
    <t>动力源</t>
  </si>
  <si>
    <t>国电南瑞</t>
  </si>
  <si>
    <t>安泰集团</t>
  </si>
  <si>
    <t>三友化工</t>
  </si>
  <si>
    <t>华胜天成</t>
  </si>
  <si>
    <t>小商品城</t>
  </si>
  <si>
    <t>商品城</t>
  </si>
  <si>
    <t>湘电股份</t>
  </si>
  <si>
    <t>江淮汽车</t>
  </si>
  <si>
    <t>新疆天宏</t>
  </si>
  <si>
    <t>现代制药</t>
  </si>
  <si>
    <t>*ST国药</t>
  </si>
  <si>
    <t>昆明制药</t>
  </si>
  <si>
    <t>柳化股份</t>
  </si>
  <si>
    <t>青松建化</t>
  </si>
  <si>
    <t>华鲁恒升</t>
  </si>
  <si>
    <t>中远航运</t>
  </si>
  <si>
    <t>三元股份</t>
  </si>
  <si>
    <t>乳制品</t>
  </si>
  <si>
    <t>吉恩镍业</t>
  </si>
  <si>
    <t>冠豪高新</t>
  </si>
  <si>
    <t>北方导航</t>
  </si>
  <si>
    <t>片仔癀</t>
  </si>
  <si>
    <t>通威股份</t>
  </si>
  <si>
    <t>瑞贝卡</t>
  </si>
  <si>
    <t>*ST国通</t>
  </si>
  <si>
    <t>金证股份</t>
  </si>
  <si>
    <t>华纺股份</t>
  </si>
  <si>
    <t>宁夏建材</t>
  </si>
  <si>
    <t>涪陵电力</t>
  </si>
  <si>
    <t>博通股份</t>
  </si>
  <si>
    <t>宝钛股份</t>
  </si>
  <si>
    <t>时代新材</t>
  </si>
  <si>
    <t>贵研铂业</t>
  </si>
  <si>
    <t>士兰微</t>
  </si>
  <si>
    <t>洪城水业</t>
  </si>
  <si>
    <t>石岘纸业</t>
  </si>
  <si>
    <t>空港股份</t>
  </si>
  <si>
    <t>迪康药业</t>
  </si>
  <si>
    <t>好当家</t>
  </si>
  <si>
    <t>百利电气</t>
  </si>
  <si>
    <t>风神股份</t>
  </si>
  <si>
    <t>六国化工</t>
  </si>
  <si>
    <t>华光股份</t>
  </si>
  <si>
    <t>湘邮科技</t>
  </si>
  <si>
    <t>杭萧钢构</t>
  </si>
  <si>
    <t>科力远</t>
  </si>
  <si>
    <t>千金药业</t>
  </si>
  <si>
    <t>凌云股份</t>
  </si>
  <si>
    <t>双良节能</t>
  </si>
  <si>
    <t>风帆股份</t>
  </si>
  <si>
    <t>福建南纺</t>
  </si>
  <si>
    <t>中创信测</t>
  </si>
  <si>
    <t>扬农化工</t>
  </si>
  <si>
    <t>亨通光电</t>
  </si>
  <si>
    <t>天药股份</t>
  </si>
  <si>
    <t>中金黄金</t>
  </si>
  <si>
    <t>鹏欣资源</t>
  </si>
  <si>
    <t>龙元建设</t>
  </si>
  <si>
    <t>凤竹纺织</t>
  </si>
  <si>
    <t>晋西车轴</t>
  </si>
  <si>
    <t>运输设备</t>
  </si>
  <si>
    <t>精工钢构</t>
  </si>
  <si>
    <t>驰宏锌锗</t>
  </si>
  <si>
    <t>烽火通信</t>
  </si>
  <si>
    <t>科达机电</t>
  </si>
  <si>
    <t>中化国际</t>
  </si>
  <si>
    <t>航天晨光</t>
  </si>
  <si>
    <t>安徽水利</t>
  </si>
  <si>
    <t>华丽家族</t>
  </si>
  <si>
    <t>西昌电力</t>
  </si>
  <si>
    <t>香梨股份</t>
  </si>
  <si>
    <t>方大特钢</t>
  </si>
  <si>
    <t>上海能源</t>
  </si>
  <si>
    <t>天富热电</t>
  </si>
  <si>
    <t>黑牡丹</t>
  </si>
  <si>
    <t>国药股份</t>
  </si>
  <si>
    <t>腾达建设</t>
  </si>
  <si>
    <t>联环药业</t>
  </si>
  <si>
    <t>海岛建设</t>
  </si>
  <si>
    <t>方大炭素</t>
  </si>
  <si>
    <t>置信电气</t>
  </si>
  <si>
    <t>康美药业</t>
  </si>
  <si>
    <t>贵州茅台</t>
  </si>
  <si>
    <t>中发科技</t>
  </si>
  <si>
    <t>华海药业</t>
  </si>
  <si>
    <t>中天科技</t>
  </si>
  <si>
    <t>贵航股份</t>
  </si>
  <si>
    <t>长园集团</t>
  </si>
  <si>
    <t>菲达环保</t>
  </si>
  <si>
    <t>江南高纤</t>
  </si>
  <si>
    <t>中铁二局</t>
  </si>
  <si>
    <t>山东药玻</t>
  </si>
  <si>
    <t>交大昂立</t>
  </si>
  <si>
    <t>豫光金铅</t>
  </si>
  <si>
    <t>宏达矿业</t>
  </si>
  <si>
    <t>栖霞建设</t>
  </si>
  <si>
    <t>天士力</t>
  </si>
  <si>
    <t>中国软件</t>
  </si>
  <si>
    <t>亿晶光电</t>
  </si>
  <si>
    <t>*ST国发</t>
  </si>
  <si>
    <t>ST狮头</t>
  </si>
  <si>
    <t>新赛股份</t>
  </si>
  <si>
    <t>莫高股份</t>
  </si>
  <si>
    <t>新疆城建</t>
  </si>
  <si>
    <t>山煤国际</t>
  </si>
  <si>
    <t>山东黄金</t>
  </si>
  <si>
    <t>深高速</t>
  </si>
  <si>
    <t>厦门钨业</t>
  </si>
  <si>
    <t>天威保变</t>
  </si>
  <si>
    <t>时代出版</t>
  </si>
  <si>
    <t>方兴科技</t>
  </si>
  <si>
    <t>*ST九龙</t>
  </si>
  <si>
    <t>*ST北生</t>
  </si>
  <si>
    <t>康缘药业</t>
  </si>
  <si>
    <t>大西洋</t>
  </si>
  <si>
    <t>老白干酒</t>
  </si>
  <si>
    <t>金自天正</t>
  </si>
  <si>
    <t>江西长运</t>
  </si>
  <si>
    <t>公路</t>
  </si>
  <si>
    <t>国睿科技</t>
  </si>
  <si>
    <t>法拉电子</t>
  </si>
  <si>
    <t>迪马股份</t>
  </si>
  <si>
    <t>洪城股份</t>
  </si>
  <si>
    <t>山鹰纸业</t>
  </si>
  <si>
    <t>中珠控股</t>
  </si>
  <si>
    <t>安阳钢铁</t>
  </si>
  <si>
    <t>恒生电子</t>
  </si>
  <si>
    <t>信雅达</t>
  </si>
  <si>
    <t>康恩贝</t>
  </si>
  <si>
    <t>惠泉啤酒</t>
  </si>
  <si>
    <t>芜湖港</t>
  </si>
  <si>
    <t>万好万家</t>
  </si>
  <si>
    <t>精达股份</t>
  </si>
  <si>
    <t>京能电力</t>
  </si>
  <si>
    <t>*ST黄海</t>
  </si>
  <si>
    <t>卧龙电气</t>
  </si>
  <si>
    <t>八一钢铁</t>
  </si>
  <si>
    <t>天地科技</t>
  </si>
  <si>
    <t>海油工程</t>
  </si>
  <si>
    <t>石油开采</t>
  </si>
  <si>
    <t>长电科技</t>
  </si>
  <si>
    <t>海螺水泥</t>
  </si>
  <si>
    <t>金晶科技</t>
  </si>
  <si>
    <t>新华医疗</t>
  </si>
  <si>
    <t>用友软件</t>
  </si>
  <si>
    <t>广东榕泰</t>
  </si>
  <si>
    <t>泰豪科技</t>
  </si>
  <si>
    <t>龙溪股份</t>
  </si>
  <si>
    <t>大连圣亚</t>
  </si>
  <si>
    <t>益佰制药</t>
  </si>
  <si>
    <t>中孚实业</t>
  </si>
  <si>
    <t>新安股份</t>
  </si>
  <si>
    <t>光明乳业</t>
  </si>
  <si>
    <t>北大荒</t>
  </si>
  <si>
    <t>熊猫烟花</t>
  </si>
  <si>
    <t>青岛啤酒</t>
  </si>
  <si>
    <t>方正科技</t>
  </si>
  <si>
    <t>仪电电子</t>
  </si>
  <si>
    <t>*ST兴业</t>
  </si>
  <si>
    <t>市北高新</t>
  </si>
  <si>
    <t>房产服务</t>
  </si>
  <si>
    <t>汇通能源</t>
  </si>
  <si>
    <t>金丰投资</t>
  </si>
  <si>
    <t>上海科技</t>
  </si>
  <si>
    <t>金杯汽车</t>
  </si>
  <si>
    <t>S中纺机</t>
  </si>
  <si>
    <t>大众交通</t>
  </si>
  <si>
    <t>老凤祥</t>
  </si>
  <si>
    <t>神奇制药</t>
  </si>
  <si>
    <t>鼎立股份</t>
  </si>
  <si>
    <t>丰华股份</t>
  </si>
  <si>
    <t>金枫酒业</t>
  </si>
  <si>
    <t>*ST联华</t>
  </si>
  <si>
    <t>氯碱化工</t>
  </si>
  <si>
    <t>海立股份</t>
  </si>
  <si>
    <t>天宸股份</t>
  </si>
  <si>
    <t>华鑫股份</t>
  </si>
  <si>
    <t>嘉宝集团</t>
  </si>
  <si>
    <t>双钱股份</t>
  </si>
  <si>
    <t>复旦复华</t>
  </si>
  <si>
    <t>申达股份</t>
  </si>
  <si>
    <t>新世界</t>
  </si>
  <si>
    <t>棱光实业</t>
  </si>
  <si>
    <t>龙头股份</t>
  </si>
  <si>
    <t>浙报传媒</t>
  </si>
  <si>
    <t>ST澄海</t>
  </si>
  <si>
    <t>批发业</t>
  </si>
  <si>
    <t>大众公用</t>
  </si>
  <si>
    <t>三爱富</t>
  </si>
  <si>
    <t>百视通</t>
  </si>
  <si>
    <t>新黄浦</t>
  </si>
  <si>
    <t>浦东金桥</t>
  </si>
  <si>
    <t>号百控股</t>
  </si>
  <si>
    <t>万业企业</t>
  </si>
  <si>
    <t>申能股份</t>
  </si>
  <si>
    <t>爱建股份</t>
  </si>
  <si>
    <t>多元金融</t>
  </si>
  <si>
    <t>乐山电力</t>
  </si>
  <si>
    <t>中源协和</t>
  </si>
  <si>
    <t>同达创业</t>
  </si>
  <si>
    <t>外高桥</t>
  </si>
  <si>
    <t>城投控股</t>
  </si>
  <si>
    <t>锦江投资</t>
  </si>
  <si>
    <t>飞乐音响</t>
  </si>
  <si>
    <t>爱使股份</t>
  </si>
  <si>
    <t>申华控股</t>
  </si>
  <si>
    <t>汽车服务</t>
  </si>
  <si>
    <t>飞乐股份</t>
  </si>
  <si>
    <t>豫园商城</t>
  </si>
  <si>
    <t>博元投资</t>
  </si>
  <si>
    <t>信达地产</t>
  </si>
  <si>
    <t>电子城</t>
  </si>
  <si>
    <t>福耀玻璃</t>
  </si>
  <si>
    <t>新南洋</t>
  </si>
  <si>
    <t>强生控股</t>
  </si>
  <si>
    <t>陆家嘴</t>
  </si>
  <si>
    <t>哈药股份</t>
  </si>
  <si>
    <t>天地源</t>
  </si>
  <si>
    <t>西南药业</t>
  </si>
  <si>
    <t>太极实业</t>
  </si>
  <si>
    <t>尖峰集团</t>
  </si>
  <si>
    <t>天目药业</t>
  </si>
  <si>
    <t>东阳光铝</t>
  </si>
  <si>
    <t>川投能源</t>
  </si>
  <si>
    <t>中华企业</t>
  </si>
  <si>
    <t>交运股份</t>
  </si>
  <si>
    <t>航天通信</t>
  </si>
  <si>
    <t>四川金顶</t>
  </si>
  <si>
    <t>金山开发</t>
  </si>
  <si>
    <t>上海普天</t>
  </si>
  <si>
    <t>万鸿集团</t>
  </si>
  <si>
    <t>装修装饰</t>
  </si>
  <si>
    <t>南京新百</t>
  </si>
  <si>
    <t>京投银泰</t>
  </si>
  <si>
    <t>珠江实业</t>
  </si>
  <si>
    <t>广船国际</t>
  </si>
  <si>
    <t>金龙汽车</t>
  </si>
  <si>
    <t>刚泰控股</t>
  </si>
  <si>
    <t>上海石化</t>
  </si>
  <si>
    <t>上海三毛</t>
  </si>
  <si>
    <t>青岛海尔</t>
  </si>
  <si>
    <t>阳煤化工</t>
  </si>
  <si>
    <t>亚通股份</t>
  </si>
  <si>
    <t>东百集团</t>
  </si>
  <si>
    <t>大商股份</t>
  </si>
  <si>
    <t>大江股份</t>
  </si>
  <si>
    <t>多伦股份</t>
  </si>
  <si>
    <t>欧亚集团</t>
  </si>
  <si>
    <t>ST轻骑</t>
  </si>
  <si>
    <t>均胜电子</t>
  </si>
  <si>
    <t>工大高新</t>
  </si>
  <si>
    <t>沱牌舍得</t>
  </si>
  <si>
    <t>三安光电</t>
  </si>
  <si>
    <t>物产中大</t>
  </si>
  <si>
    <t>中航投资</t>
  </si>
  <si>
    <t>曲江文旅</t>
  </si>
  <si>
    <t>*ST彩虹</t>
  </si>
  <si>
    <t>海博股份</t>
  </si>
  <si>
    <t>常林股份</t>
  </si>
  <si>
    <t>盛屯矿业</t>
  </si>
  <si>
    <t>南宁百货</t>
  </si>
  <si>
    <t>南京医药</t>
  </si>
  <si>
    <t>金瑞矿业</t>
  </si>
  <si>
    <t>松辽汽车</t>
  </si>
  <si>
    <t>凤凰股份</t>
  </si>
  <si>
    <t>天津港</t>
  </si>
  <si>
    <t>东软集团</t>
  </si>
  <si>
    <t>大连热电</t>
  </si>
  <si>
    <t>祁连山</t>
  </si>
  <si>
    <t>百花村</t>
  </si>
  <si>
    <t>金牛化工</t>
  </si>
  <si>
    <t>首商股份</t>
  </si>
  <si>
    <t>宁波富达</t>
  </si>
  <si>
    <t>云维股份</t>
  </si>
  <si>
    <t>华电能源</t>
  </si>
  <si>
    <t>鲁北化工</t>
  </si>
  <si>
    <t>佳都新太</t>
  </si>
  <si>
    <t>重庆百货</t>
  </si>
  <si>
    <t>中国高科</t>
  </si>
  <si>
    <t>湖南海利</t>
  </si>
  <si>
    <t>上海新梅</t>
  </si>
  <si>
    <t>S前锋</t>
  </si>
  <si>
    <t>实达集团</t>
  </si>
  <si>
    <t>新华锦</t>
  </si>
  <si>
    <t>苏州高新</t>
  </si>
  <si>
    <t>中粮屯河</t>
  </si>
  <si>
    <t>兰州民百</t>
  </si>
  <si>
    <t>辽宁成大</t>
  </si>
  <si>
    <t>山西焦化</t>
  </si>
  <si>
    <t>华域汽车</t>
  </si>
  <si>
    <t>一汽富维</t>
  </si>
  <si>
    <t>华远地产</t>
  </si>
  <si>
    <t>华银电力</t>
  </si>
  <si>
    <t>中茵股份</t>
  </si>
  <si>
    <t>江苏索普</t>
  </si>
  <si>
    <t>大连控股</t>
  </si>
  <si>
    <t>上实发展</t>
  </si>
  <si>
    <t>西藏旅游</t>
  </si>
  <si>
    <t>江中药业</t>
  </si>
  <si>
    <t>天津海运</t>
  </si>
  <si>
    <t>东方银星</t>
  </si>
  <si>
    <t>锦江股份</t>
  </si>
  <si>
    <t>厦门国贸</t>
  </si>
  <si>
    <t>浪潮软件</t>
  </si>
  <si>
    <t>长江传媒</t>
  </si>
  <si>
    <t>红阳能源</t>
  </si>
  <si>
    <t>正和股份</t>
  </si>
  <si>
    <t>*ST黑豹</t>
  </si>
  <si>
    <t>安徽合力</t>
  </si>
  <si>
    <t>通策医疗</t>
  </si>
  <si>
    <t>中电广通</t>
  </si>
  <si>
    <t>中航重机</t>
  </si>
  <si>
    <t>园城黄金</t>
  </si>
  <si>
    <t>运盛实业</t>
  </si>
  <si>
    <t>宁波富邦</t>
  </si>
  <si>
    <t>*ST祥龙</t>
  </si>
  <si>
    <t>综艺股份</t>
  </si>
  <si>
    <t>广誉远</t>
  </si>
  <si>
    <t>西藏城投</t>
  </si>
  <si>
    <t>汉商集团</t>
  </si>
  <si>
    <t>南京熊猫</t>
  </si>
  <si>
    <t>东方通信</t>
  </si>
  <si>
    <t>新潮实业</t>
  </si>
  <si>
    <t>友好集团</t>
  </si>
  <si>
    <t>水井坊</t>
  </si>
  <si>
    <t>通宝能源</t>
  </si>
  <si>
    <t>上海辅仁</t>
  </si>
  <si>
    <t>新钢股份</t>
  </si>
  <si>
    <t>鲁信创投</t>
  </si>
  <si>
    <t>鲁银投资</t>
  </si>
  <si>
    <t>新华百货</t>
  </si>
  <si>
    <t>中储股份</t>
  </si>
  <si>
    <t>鲁抗医药</t>
  </si>
  <si>
    <t>轻纺城</t>
  </si>
  <si>
    <t>京能置业</t>
  </si>
  <si>
    <t>云煤能源</t>
  </si>
  <si>
    <t>ST宜纸</t>
  </si>
  <si>
    <t>保税科技</t>
  </si>
  <si>
    <t>国电电力</t>
  </si>
  <si>
    <t>钱江生化</t>
  </si>
  <si>
    <t>浙大网新</t>
  </si>
  <si>
    <t>宁波海运</t>
  </si>
  <si>
    <t>天津磁卡</t>
  </si>
  <si>
    <t>华新水泥</t>
  </si>
  <si>
    <t>福建水泥</t>
  </si>
  <si>
    <t>威远生化</t>
  </si>
  <si>
    <t>鹏博士</t>
  </si>
  <si>
    <t>悦达投资</t>
  </si>
  <si>
    <t>昆明机床</t>
  </si>
  <si>
    <t>天业股份</t>
  </si>
  <si>
    <t>马钢股份</t>
  </si>
  <si>
    <t>山西汾酒</t>
  </si>
  <si>
    <t>神马股份</t>
  </si>
  <si>
    <t>东方集团</t>
  </si>
  <si>
    <t>华北制药</t>
  </si>
  <si>
    <t>杭州解百</t>
  </si>
  <si>
    <t>厦工股份</t>
  </si>
  <si>
    <t>安信信托</t>
  </si>
  <si>
    <t>ST宏盛</t>
  </si>
  <si>
    <t>中路股份</t>
  </si>
  <si>
    <t>耀皮玻璃</t>
  </si>
  <si>
    <t>隧道股份</t>
  </si>
  <si>
    <t>津劝业</t>
  </si>
  <si>
    <t>上海物贸</t>
  </si>
  <si>
    <t>世茂股份</t>
  </si>
  <si>
    <t>益民集团</t>
  </si>
  <si>
    <t>新华传媒</t>
  </si>
  <si>
    <t>兰生股份</t>
  </si>
  <si>
    <t>友谊股份</t>
  </si>
  <si>
    <t>成商集团</t>
  </si>
  <si>
    <t>三精制药</t>
  </si>
  <si>
    <t>香溢融通</t>
  </si>
  <si>
    <t>广电网络</t>
  </si>
  <si>
    <t>东方明珠</t>
  </si>
  <si>
    <t>第一医药</t>
  </si>
  <si>
    <t>申通地铁</t>
  </si>
  <si>
    <t>上海机电</t>
  </si>
  <si>
    <t>界龙实业</t>
  </si>
  <si>
    <t>海通证券</t>
  </si>
  <si>
    <t>上海九百</t>
  </si>
  <si>
    <t>四川长虹</t>
  </si>
  <si>
    <t>上柴股份</t>
  </si>
  <si>
    <t>上工申贝</t>
  </si>
  <si>
    <t>丹化科技</t>
  </si>
  <si>
    <t>宝信软件</t>
  </si>
  <si>
    <t>同济科技</t>
  </si>
  <si>
    <t>万里股份</t>
  </si>
  <si>
    <t>自仪股份</t>
  </si>
  <si>
    <t>华东电脑</t>
  </si>
  <si>
    <t>海欣股份</t>
  </si>
  <si>
    <t>龙建股份</t>
  </si>
  <si>
    <t>春兰股份</t>
  </si>
  <si>
    <t>航天长峰</t>
  </si>
  <si>
    <t>长百集团</t>
  </si>
  <si>
    <t>工大首创</t>
  </si>
  <si>
    <t>银座股份</t>
  </si>
  <si>
    <t>王府井</t>
  </si>
  <si>
    <t>北人股份</t>
  </si>
  <si>
    <t>轻工机械</t>
  </si>
  <si>
    <t>北京城乡</t>
  </si>
  <si>
    <t>南通科技</t>
  </si>
  <si>
    <t>内蒙华电</t>
  </si>
  <si>
    <t>哈投股份</t>
  </si>
  <si>
    <t>百大集团</t>
  </si>
  <si>
    <t>星湖科技</t>
  </si>
  <si>
    <t>通化东宝</t>
  </si>
  <si>
    <t>梅雁吉祥</t>
  </si>
  <si>
    <t>远东电缆</t>
  </si>
  <si>
    <t>厦华电子</t>
  </si>
  <si>
    <t>仪征化纤</t>
  </si>
  <si>
    <t>中炬高新</t>
  </si>
  <si>
    <t>梅花集团</t>
  </si>
  <si>
    <t>创业环保</t>
  </si>
  <si>
    <t>东方电气</t>
  </si>
  <si>
    <t>洛阳玻璃</t>
  </si>
  <si>
    <t>中国嘉陵</t>
  </si>
  <si>
    <t>航天电子</t>
  </si>
  <si>
    <t>博瑞传播</t>
  </si>
  <si>
    <t>亚泰集团</t>
  </si>
  <si>
    <t>华联矿业</t>
  </si>
  <si>
    <t>博闻科技</t>
  </si>
  <si>
    <t>杉杉股份</t>
  </si>
  <si>
    <t>宏发股份</t>
  </si>
  <si>
    <t>国投电力</t>
  </si>
  <si>
    <t>伊利股份</t>
  </si>
  <si>
    <t>新疆众和</t>
  </si>
  <si>
    <t>南京化纤</t>
  </si>
  <si>
    <t>中房股份</t>
  </si>
  <si>
    <t>秋林集团</t>
  </si>
  <si>
    <t>宝诚股份</t>
  </si>
  <si>
    <t>航空动力</t>
  </si>
  <si>
    <t>广日股份</t>
  </si>
  <si>
    <t>张江高科</t>
  </si>
  <si>
    <t>中海海盛</t>
  </si>
  <si>
    <t>厦门空港</t>
  </si>
  <si>
    <t>三联商社</t>
  </si>
  <si>
    <t>电器连锁</t>
  </si>
  <si>
    <t>长江电力</t>
  </si>
  <si>
    <t>渤海活塞</t>
  </si>
  <si>
    <t>*ST株冶</t>
  </si>
  <si>
    <t>国投中鲁</t>
  </si>
  <si>
    <t>岳阳林纸</t>
  </si>
  <si>
    <t>福成五丰</t>
  </si>
  <si>
    <t>博汇纸业</t>
  </si>
  <si>
    <t>北方创业</t>
  </si>
  <si>
    <t>郴电国际</t>
  </si>
  <si>
    <t>中材国际</t>
  </si>
  <si>
    <t>恒源煤电</t>
  </si>
  <si>
    <t>宝胜股份</t>
  </si>
  <si>
    <t>新五丰</t>
  </si>
  <si>
    <t>武汉健民</t>
  </si>
  <si>
    <t>宜华木业</t>
  </si>
  <si>
    <t>广安爱众</t>
  </si>
  <si>
    <t>*ST北磁</t>
  </si>
  <si>
    <t>汇鸿股份</t>
  </si>
  <si>
    <t>宁波热电</t>
  </si>
  <si>
    <t>合肥三洋</t>
  </si>
  <si>
    <t>建设机械</t>
  </si>
  <si>
    <t>雷鸣科化</t>
  </si>
  <si>
    <t>科达股份</t>
  </si>
  <si>
    <t>航民股份</t>
  </si>
  <si>
    <t>赤峰黄金</t>
  </si>
  <si>
    <t>四创电子</t>
  </si>
  <si>
    <t>贵绳股份</t>
  </si>
  <si>
    <t>马应龙</t>
  </si>
  <si>
    <t>文山电力</t>
  </si>
  <si>
    <t>开滦股份</t>
  </si>
  <si>
    <t>九州通</t>
  </si>
  <si>
    <t>招商证券</t>
  </si>
  <si>
    <t>唐山港</t>
  </si>
  <si>
    <t>大同煤业</t>
  </si>
  <si>
    <t>晋亿实业</t>
  </si>
  <si>
    <t>柳钢股份</t>
  </si>
  <si>
    <t>重庆钢铁</t>
  </si>
  <si>
    <t>大秦铁路</t>
  </si>
  <si>
    <t>金陵饭店</t>
  </si>
  <si>
    <t>连云港</t>
  </si>
  <si>
    <t>南京银行</t>
  </si>
  <si>
    <t>文峰股份</t>
  </si>
  <si>
    <t>宝泰隆</t>
  </si>
  <si>
    <t>隆基股份</t>
  </si>
  <si>
    <t>宁波港</t>
  </si>
  <si>
    <t>玉龙股份</t>
  </si>
  <si>
    <t>一拖股份</t>
  </si>
  <si>
    <t>赛轮股份</t>
  </si>
  <si>
    <t>中国神华</t>
  </si>
  <si>
    <t>中南传媒</t>
  </si>
  <si>
    <t>太平洋</t>
  </si>
  <si>
    <t>恒立油缸</t>
  </si>
  <si>
    <t>昊华能源</t>
  </si>
  <si>
    <t>中国一重</t>
  </si>
  <si>
    <t>四川成渝</t>
  </si>
  <si>
    <t>中国国航</t>
  </si>
  <si>
    <t>华鼎锦纶</t>
  </si>
  <si>
    <t>三江购物</t>
  </si>
  <si>
    <t>中国化学</t>
  </si>
  <si>
    <t>海南橡胶</t>
  </si>
  <si>
    <t>橡胶</t>
  </si>
  <si>
    <t>四方股份</t>
  </si>
  <si>
    <t>博威合金</t>
  </si>
  <si>
    <t>深圳燃气</t>
  </si>
  <si>
    <t>重庆水务</t>
  </si>
  <si>
    <t>兴业银行</t>
  </si>
  <si>
    <t>西部矿业</t>
  </si>
  <si>
    <t>北京银行</t>
  </si>
  <si>
    <t>杭齿前进</t>
  </si>
  <si>
    <t>中国西电</t>
  </si>
  <si>
    <t>中国铁建</t>
  </si>
  <si>
    <t>龙江交通</t>
  </si>
  <si>
    <t>江南水务</t>
  </si>
  <si>
    <t>东材科技</t>
  </si>
  <si>
    <t>内蒙君正</t>
  </si>
  <si>
    <t>吉鑫科技</t>
  </si>
  <si>
    <t>林洋电子</t>
  </si>
  <si>
    <t>环旭电子</t>
  </si>
  <si>
    <t>桐昆股份</t>
  </si>
  <si>
    <t>广汽集团</t>
  </si>
  <si>
    <t>庞大集团</t>
  </si>
  <si>
    <t>*ST二重</t>
  </si>
  <si>
    <t>农业银行</t>
  </si>
  <si>
    <t>中国北车</t>
  </si>
  <si>
    <t>骆驼股份</t>
  </si>
  <si>
    <t>江南嘉捷</t>
  </si>
  <si>
    <t>中国平安</t>
  </si>
  <si>
    <t>保险</t>
  </si>
  <si>
    <t>交通银行</t>
  </si>
  <si>
    <t>广深铁路</t>
  </si>
  <si>
    <t>新华保险</t>
  </si>
  <si>
    <t>百隆东方</t>
  </si>
  <si>
    <t>陕鼓动力</t>
  </si>
  <si>
    <t>兴业证券</t>
  </si>
  <si>
    <t>怡球资源</t>
  </si>
  <si>
    <t>中国中铁</t>
  </si>
  <si>
    <t>工商银行</t>
  </si>
  <si>
    <t>东风股份</t>
  </si>
  <si>
    <t>吉林高速</t>
  </si>
  <si>
    <t>大智慧</t>
  </si>
  <si>
    <t>东吴证券</t>
  </si>
  <si>
    <t>华锐风电</t>
  </si>
  <si>
    <t>九牧王</t>
  </si>
  <si>
    <t>三星电气</t>
  </si>
  <si>
    <t>北辰实业</t>
  </si>
  <si>
    <t>鹿港科技</t>
  </si>
  <si>
    <t>中国铝业</t>
  </si>
  <si>
    <t>中国太保</t>
  </si>
  <si>
    <t>上海医药</t>
  </si>
  <si>
    <t>中信重工</t>
  </si>
  <si>
    <t>广电电气</t>
  </si>
  <si>
    <t>中国中冶</t>
  </si>
  <si>
    <t>中国人寿</t>
  </si>
  <si>
    <t>长城汽车</t>
  </si>
  <si>
    <t>旗滨集团</t>
  </si>
  <si>
    <t>平煤股份</t>
  </si>
  <si>
    <t>中国建筑</t>
  </si>
  <si>
    <t>中国水电</t>
  </si>
  <si>
    <t>明泰铝业</t>
  </si>
  <si>
    <t>滨化股份</t>
  </si>
  <si>
    <t>华泰证券</t>
  </si>
  <si>
    <t>潞安环能</t>
  </si>
  <si>
    <t>风范股份</t>
  </si>
  <si>
    <t>郑煤机</t>
  </si>
  <si>
    <t>际华集团</t>
  </si>
  <si>
    <t>上海电气</t>
  </si>
  <si>
    <t>中国南车</t>
  </si>
  <si>
    <t>力帆股份</t>
  </si>
  <si>
    <t>光大证券</t>
  </si>
  <si>
    <t>宁波建工</t>
  </si>
  <si>
    <t>蓝科高新</t>
  </si>
  <si>
    <t>星宇股份</t>
  </si>
  <si>
    <t>中国交建</t>
  </si>
  <si>
    <t>皖新传媒</t>
  </si>
  <si>
    <t>中海油服</t>
  </si>
  <si>
    <t>光大银行</t>
  </si>
  <si>
    <t>中国石油</t>
  </si>
  <si>
    <t>中海集运</t>
  </si>
  <si>
    <t>招商轮船</t>
  </si>
  <si>
    <t>正泰电器</t>
  </si>
  <si>
    <t>大连港</t>
  </si>
  <si>
    <t>江河创建</t>
  </si>
  <si>
    <t>中国国旅</t>
  </si>
  <si>
    <t>亚星锚链</t>
  </si>
  <si>
    <t>中煤能源</t>
  </si>
  <si>
    <t>紫金矿业</t>
  </si>
  <si>
    <t>方正证券</t>
  </si>
  <si>
    <t>京运通</t>
  </si>
  <si>
    <t>国投新集</t>
  </si>
  <si>
    <t>*ST远洋</t>
  </si>
  <si>
    <t>凤凰传媒</t>
  </si>
  <si>
    <t>吉视传媒</t>
  </si>
  <si>
    <t>永辉超市</t>
  </si>
  <si>
    <t>建设银行</t>
  </si>
  <si>
    <t>金钼股份</t>
  </si>
  <si>
    <t>中国汽研</t>
  </si>
  <si>
    <t>中国银行</t>
  </si>
  <si>
    <t>中国重工</t>
  </si>
  <si>
    <t>大唐发电</t>
  </si>
  <si>
    <t>金隅股份</t>
  </si>
  <si>
    <t>丰林集团</t>
  </si>
  <si>
    <t>中信银行</t>
  </si>
  <si>
    <t>出版传媒</t>
  </si>
  <si>
    <t>人民网</t>
  </si>
  <si>
    <t>互联网</t>
  </si>
  <si>
    <t>奥康国际</t>
  </si>
  <si>
    <t>宏昌电子</t>
  </si>
  <si>
    <t>龙宇燃油</t>
  </si>
  <si>
    <t>喜临门</t>
  </si>
  <si>
    <t>和邦股份</t>
  </si>
  <si>
    <t>翠微股份</t>
  </si>
  <si>
    <t>华贸物流</t>
  </si>
  <si>
    <t>渤海轮渡</t>
  </si>
  <si>
    <t>明星电缆</t>
  </si>
  <si>
    <t>日出东方</t>
  </si>
  <si>
    <t>新华龙</t>
  </si>
  <si>
    <t>隆鑫通用</t>
  </si>
  <si>
    <t>洛阳钼业</t>
  </si>
  <si>
    <t>数据来源:通达信</t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</si>
</sst>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好" xfId="6" builtinId="26" customBuiltin="1"/>
    <cellStyle name="差" xfId="7" builtinId="27" customBuiltin="1"/>
    <cellStyle name="常规" xfId="0" builtinId="0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B943"/>
  <sheetViews>
    <sheetView tabSelected="1" workbookViewId="0"/>
  </sheetViews>
  <sheetFormatPr defaultRowHeight="13.5"/>
  <sheetData>
    <row r="1" spans="1:2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</row>
    <row r="2" spans="1:28">
      <c r="A2" t="str">
        <f>"600000"</f>
        <v>600000</v>
      </c>
      <c r="B2" t="s">
        <v>28</v>
      </c>
      <c r="C2">
        <v>1.05</v>
      </c>
      <c r="D2">
        <v>10.59</v>
      </c>
      <c r="E2">
        <v>0.11</v>
      </c>
      <c r="F2">
        <v>10.59</v>
      </c>
      <c r="G2">
        <v>10.6</v>
      </c>
      <c r="H2">
        <v>3011658</v>
      </c>
      <c r="I2">
        <v>469</v>
      </c>
      <c r="J2">
        <v>0.18</v>
      </c>
      <c r="K2">
        <v>2.02</v>
      </c>
      <c r="L2">
        <v>10.48</v>
      </c>
      <c r="M2">
        <v>10.62</v>
      </c>
      <c r="N2">
        <v>10.31</v>
      </c>
      <c r="O2">
        <v>10.48</v>
      </c>
      <c r="P2">
        <v>5.09</v>
      </c>
      <c r="Q2">
        <v>3162162432</v>
      </c>
      <c r="R2">
        <v>1.1200000000000001</v>
      </c>
      <c r="S2" t="s">
        <v>29</v>
      </c>
      <c r="T2" t="s">
        <v>30</v>
      </c>
      <c r="U2">
        <v>2.96</v>
      </c>
      <c r="V2">
        <v>10.5</v>
      </c>
      <c r="W2">
        <v>1484716</v>
      </c>
      <c r="X2">
        <v>1526942</v>
      </c>
      <c r="Y2">
        <v>0.97</v>
      </c>
      <c r="Z2">
        <v>20</v>
      </c>
      <c r="AA2">
        <v>5659</v>
      </c>
      <c r="AB2" t="s">
        <v>31</v>
      </c>
    </row>
    <row r="3" spans="1:28">
      <c r="A3" t="str">
        <f>"600004"</f>
        <v>600004</v>
      </c>
      <c r="B3" t="s">
        <v>32</v>
      </c>
      <c r="C3">
        <v>2.42</v>
      </c>
      <c r="D3">
        <v>6.76</v>
      </c>
      <c r="E3">
        <v>0.16</v>
      </c>
      <c r="F3">
        <v>6.75</v>
      </c>
      <c r="G3">
        <v>6.76</v>
      </c>
      <c r="H3">
        <v>33143</v>
      </c>
      <c r="I3">
        <v>20</v>
      </c>
      <c r="J3">
        <v>0.14000000000000001</v>
      </c>
      <c r="K3">
        <v>0.28999999999999998</v>
      </c>
      <c r="L3">
        <v>6.62</v>
      </c>
      <c r="M3">
        <v>6.76</v>
      </c>
      <c r="N3">
        <v>6.62</v>
      </c>
      <c r="O3">
        <v>6.6</v>
      </c>
      <c r="P3">
        <v>8.61</v>
      </c>
      <c r="Q3">
        <v>22232412</v>
      </c>
      <c r="R3">
        <v>0.87</v>
      </c>
      <c r="S3" t="s">
        <v>33</v>
      </c>
      <c r="T3" t="s">
        <v>34</v>
      </c>
      <c r="U3">
        <v>2.12</v>
      </c>
      <c r="V3">
        <v>6.71</v>
      </c>
      <c r="W3">
        <v>9463</v>
      </c>
      <c r="X3">
        <v>23680</v>
      </c>
      <c r="Y3">
        <v>0.4</v>
      </c>
      <c r="Z3">
        <v>224</v>
      </c>
      <c r="AA3">
        <v>810</v>
      </c>
      <c r="AB3" t="s">
        <v>31</v>
      </c>
    </row>
    <row r="4" spans="1:28">
      <c r="A4" t="str">
        <f>"600005"</f>
        <v>600005</v>
      </c>
      <c r="B4" t="s">
        <v>35</v>
      </c>
      <c r="C4">
        <v>1.31</v>
      </c>
      <c r="D4">
        <v>2.3199999999999998</v>
      </c>
      <c r="E4">
        <v>0.03</v>
      </c>
      <c r="F4">
        <v>2.31</v>
      </c>
      <c r="G4">
        <v>2.3199999999999998</v>
      </c>
      <c r="H4">
        <v>158955</v>
      </c>
      <c r="I4">
        <v>102</v>
      </c>
      <c r="J4">
        <v>0</v>
      </c>
      <c r="K4">
        <v>0.16</v>
      </c>
      <c r="L4">
        <v>2.2799999999999998</v>
      </c>
      <c r="M4">
        <v>2.33</v>
      </c>
      <c r="N4">
        <v>2.27</v>
      </c>
      <c r="O4">
        <v>2.29</v>
      </c>
      <c r="P4">
        <v>26.98</v>
      </c>
      <c r="Q4">
        <v>36597796</v>
      </c>
      <c r="R4">
        <v>1.27</v>
      </c>
      <c r="S4" t="s">
        <v>36</v>
      </c>
      <c r="T4" t="s">
        <v>37</v>
      </c>
      <c r="U4">
        <v>2.62</v>
      </c>
      <c r="V4">
        <v>2.2999999999999998</v>
      </c>
      <c r="W4">
        <v>83754</v>
      </c>
      <c r="X4">
        <v>75201</v>
      </c>
      <c r="Y4">
        <v>1.1100000000000001</v>
      </c>
      <c r="Z4">
        <v>9924</v>
      </c>
      <c r="AA4">
        <v>746</v>
      </c>
      <c r="AB4" t="s">
        <v>31</v>
      </c>
    </row>
    <row r="5" spans="1:28">
      <c r="A5" t="str">
        <f>"600006"</f>
        <v>600006</v>
      </c>
      <c r="B5" t="s">
        <v>38</v>
      </c>
      <c r="C5">
        <v>1.69</v>
      </c>
      <c r="D5">
        <v>3.01</v>
      </c>
      <c r="E5">
        <v>0.05</v>
      </c>
      <c r="F5">
        <v>3</v>
      </c>
      <c r="G5">
        <v>3.01</v>
      </c>
      <c r="H5">
        <v>64218</v>
      </c>
      <c r="I5">
        <v>50</v>
      </c>
      <c r="J5">
        <v>0</v>
      </c>
      <c r="K5">
        <v>0.32</v>
      </c>
      <c r="L5">
        <v>2.95</v>
      </c>
      <c r="M5">
        <v>3.03</v>
      </c>
      <c r="N5">
        <v>2.94</v>
      </c>
      <c r="O5">
        <v>2.96</v>
      </c>
      <c r="P5">
        <v>184.74</v>
      </c>
      <c r="Q5">
        <v>19203236</v>
      </c>
      <c r="R5">
        <v>0.75</v>
      </c>
      <c r="S5" t="s">
        <v>39</v>
      </c>
      <c r="T5" t="s">
        <v>37</v>
      </c>
      <c r="U5">
        <v>3.04</v>
      </c>
      <c r="V5">
        <v>2.99</v>
      </c>
      <c r="W5">
        <v>20106</v>
      </c>
      <c r="X5">
        <v>44112</v>
      </c>
      <c r="Y5">
        <v>0.46</v>
      </c>
      <c r="Z5">
        <v>339</v>
      </c>
      <c r="AA5">
        <v>623</v>
      </c>
      <c r="AB5" t="s">
        <v>31</v>
      </c>
    </row>
    <row r="6" spans="1:28">
      <c r="A6" t="str">
        <f>"600007"</f>
        <v>600007</v>
      </c>
      <c r="B6" t="s">
        <v>40</v>
      </c>
      <c r="C6">
        <v>0.85</v>
      </c>
      <c r="D6">
        <v>10.65</v>
      </c>
      <c r="E6">
        <v>0.09</v>
      </c>
      <c r="F6">
        <v>10.63</v>
      </c>
      <c r="G6">
        <v>10.64</v>
      </c>
      <c r="H6">
        <v>9551</v>
      </c>
      <c r="I6">
        <v>2</v>
      </c>
      <c r="J6">
        <v>0.28000000000000003</v>
      </c>
      <c r="K6">
        <v>0.09</v>
      </c>
      <c r="L6">
        <v>10.55</v>
      </c>
      <c r="M6">
        <v>10.67</v>
      </c>
      <c r="N6">
        <v>10.35</v>
      </c>
      <c r="O6">
        <v>10.56</v>
      </c>
      <c r="P6">
        <v>23.32</v>
      </c>
      <c r="Q6">
        <v>10065187</v>
      </c>
      <c r="R6">
        <v>0.63</v>
      </c>
      <c r="S6" t="s">
        <v>41</v>
      </c>
      <c r="T6" t="s">
        <v>42</v>
      </c>
      <c r="U6">
        <v>3.03</v>
      </c>
      <c r="V6">
        <v>10.54</v>
      </c>
      <c r="W6">
        <v>4240</v>
      </c>
      <c r="X6">
        <v>5311</v>
      </c>
      <c r="Y6">
        <v>0.8</v>
      </c>
      <c r="Z6">
        <v>37</v>
      </c>
      <c r="AA6">
        <v>16</v>
      </c>
      <c r="AB6" t="s">
        <v>31</v>
      </c>
    </row>
    <row r="7" spans="1:28">
      <c r="A7" t="str">
        <f>"600008"</f>
        <v>600008</v>
      </c>
      <c r="B7" t="s">
        <v>43</v>
      </c>
      <c r="C7">
        <v>2.0099999999999998</v>
      </c>
      <c r="D7">
        <v>7.09</v>
      </c>
      <c r="E7">
        <v>0.14000000000000001</v>
      </c>
      <c r="F7">
        <v>7.08</v>
      </c>
      <c r="G7">
        <v>7.09</v>
      </c>
      <c r="H7">
        <v>183167</v>
      </c>
      <c r="I7">
        <v>4</v>
      </c>
      <c r="J7">
        <v>0.28000000000000003</v>
      </c>
      <c r="K7">
        <v>0.83</v>
      </c>
      <c r="L7">
        <v>6.87</v>
      </c>
      <c r="M7">
        <v>7.1</v>
      </c>
      <c r="N7">
        <v>6.86</v>
      </c>
      <c r="O7">
        <v>6.95</v>
      </c>
      <c r="P7">
        <v>53.67</v>
      </c>
      <c r="Q7">
        <v>128163696</v>
      </c>
      <c r="R7">
        <v>0.61</v>
      </c>
      <c r="S7" t="s">
        <v>44</v>
      </c>
      <c r="T7" t="s">
        <v>42</v>
      </c>
      <c r="U7">
        <v>3.45</v>
      </c>
      <c r="V7">
        <v>7</v>
      </c>
      <c r="W7">
        <v>86236</v>
      </c>
      <c r="X7">
        <v>96931</v>
      </c>
      <c r="Y7">
        <v>0.89</v>
      </c>
      <c r="Z7">
        <v>642</v>
      </c>
      <c r="AA7">
        <v>21</v>
      </c>
      <c r="AB7" t="s">
        <v>31</v>
      </c>
    </row>
    <row r="8" spans="1:28">
      <c r="A8" t="str">
        <f>"600009"</f>
        <v>600009</v>
      </c>
      <c r="B8" t="s">
        <v>45</v>
      </c>
      <c r="C8">
        <v>4.24</v>
      </c>
      <c r="D8">
        <v>14.5</v>
      </c>
      <c r="E8">
        <v>0.59</v>
      </c>
      <c r="F8">
        <v>14.51</v>
      </c>
      <c r="G8">
        <v>14.52</v>
      </c>
      <c r="H8">
        <v>134256</v>
      </c>
      <c r="I8">
        <v>14</v>
      </c>
      <c r="J8">
        <v>0.06</v>
      </c>
      <c r="K8">
        <v>1.23</v>
      </c>
      <c r="L8">
        <v>14.1</v>
      </c>
      <c r="M8">
        <v>14.53</v>
      </c>
      <c r="N8">
        <v>13.95</v>
      </c>
      <c r="O8">
        <v>13.91</v>
      </c>
      <c r="P8">
        <v>15.65</v>
      </c>
      <c r="Q8">
        <v>191950896</v>
      </c>
      <c r="R8">
        <v>1.34</v>
      </c>
      <c r="S8" t="s">
        <v>33</v>
      </c>
      <c r="T8" t="s">
        <v>30</v>
      </c>
      <c r="U8">
        <v>4.17</v>
      </c>
      <c r="V8">
        <v>14.3</v>
      </c>
      <c r="W8">
        <v>62568</v>
      </c>
      <c r="X8">
        <v>71688</v>
      </c>
      <c r="Y8">
        <v>0.87</v>
      </c>
      <c r="Z8">
        <v>22</v>
      </c>
      <c r="AA8">
        <v>241</v>
      </c>
      <c r="AB8" t="s">
        <v>31</v>
      </c>
    </row>
    <row r="9" spans="1:28">
      <c r="A9" t="str">
        <f>"600010"</f>
        <v>600010</v>
      </c>
      <c r="B9" t="s">
        <v>46</v>
      </c>
      <c r="C9">
        <v>0.79</v>
      </c>
      <c r="D9">
        <v>3.84</v>
      </c>
      <c r="E9">
        <v>0.03</v>
      </c>
      <c r="F9">
        <v>3.84</v>
      </c>
      <c r="G9">
        <v>3.85</v>
      </c>
      <c r="H9">
        <v>337360</v>
      </c>
      <c r="I9">
        <v>20</v>
      </c>
      <c r="J9">
        <v>0</v>
      </c>
      <c r="K9">
        <v>0.53</v>
      </c>
      <c r="L9">
        <v>3.81</v>
      </c>
      <c r="M9">
        <v>3.87</v>
      </c>
      <c r="N9">
        <v>3.77</v>
      </c>
      <c r="O9">
        <v>3.81</v>
      </c>
      <c r="P9">
        <v>133.54</v>
      </c>
      <c r="Q9">
        <v>128615360</v>
      </c>
      <c r="R9">
        <v>1.22</v>
      </c>
      <c r="S9" t="s">
        <v>36</v>
      </c>
      <c r="T9" t="s">
        <v>47</v>
      </c>
      <c r="U9">
        <v>2.62</v>
      </c>
      <c r="V9">
        <v>3.81</v>
      </c>
      <c r="W9">
        <v>177479</v>
      </c>
      <c r="X9">
        <v>159881</v>
      </c>
      <c r="Y9">
        <v>1.1100000000000001</v>
      </c>
      <c r="Z9">
        <v>1760</v>
      </c>
      <c r="AA9">
        <v>2713</v>
      </c>
      <c r="AB9" t="s">
        <v>31</v>
      </c>
    </row>
    <row r="10" spans="1:28">
      <c r="A10" t="str">
        <f>"600011"</f>
        <v>600011</v>
      </c>
      <c r="B10" t="s">
        <v>48</v>
      </c>
      <c r="C10">
        <v>5.22</v>
      </c>
      <c r="D10">
        <v>5.85</v>
      </c>
      <c r="E10">
        <v>0.28999999999999998</v>
      </c>
      <c r="F10">
        <v>5.84</v>
      </c>
      <c r="G10">
        <v>5.85</v>
      </c>
      <c r="H10">
        <v>704847</v>
      </c>
      <c r="I10">
        <v>2000</v>
      </c>
      <c r="J10">
        <v>-0.17</v>
      </c>
      <c r="K10">
        <v>0.7</v>
      </c>
      <c r="L10">
        <v>5.6</v>
      </c>
      <c r="M10">
        <v>6.05</v>
      </c>
      <c r="N10">
        <v>5.56</v>
      </c>
      <c r="O10">
        <v>5.56</v>
      </c>
      <c r="P10">
        <v>6.71</v>
      </c>
      <c r="Q10">
        <v>411518368</v>
      </c>
      <c r="R10">
        <v>2.66</v>
      </c>
      <c r="S10" t="s">
        <v>49</v>
      </c>
      <c r="T10" t="s">
        <v>42</v>
      </c>
      <c r="U10">
        <v>8.81</v>
      </c>
      <c r="V10">
        <v>5.84</v>
      </c>
      <c r="W10">
        <v>264984</v>
      </c>
      <c r="X10">
        <v>439863</v>
      </c>
      <c r="Y10">
        <v>0.6</v>
      </c>
      <c r="Z10">
        <v>2069</v>
      </c>
      <c r="AA10">
        <v>1125</v>
      </c>
      <c r="AB10" t="s">
        <v>31</v>
      </c>
    </row>
    <row r="11" spans="1:28">
      <c r="A11" t="str">
        <f>"600012"</f>
        <v>600012</v>
      </c>
      <c r="B11" t="s">
        <v>50</v>
      </c>
      <c r="C11">
        <v>2.27</v>
      </c>
      <c r="D11">
        <v>4.05</v>
      </c>
      <c r="E11">
        <v>0.09</v>
      </c>
      <c r="F11">
        <v>4.05</v>
      </c>
      <c r="G11">
        <v>4.0599999999999996</v>
      </c>
      <c r="H11">
        <v>32125</v>
      </c>
      <c r="I11">
        <v>313</v>
      </c>
      <c r="J11">
        <v>0.24</v>
      </c>
      <c r="K11">
        <v>0.28000000000000003</v>
      </c>
      <c r="L11">
        <v>3.97</v>
      </c>
      <c r="M11">
        <v>4.0599999999999996</v>
      </c>
      <c r="N11">
        <v>3.95</v>
      </c>
      <c r="O11">
        <v>3.96</v>
      </c>
      <c r="P11">
        <v>7.8</v>
      </c>
      <c r="Q11">
        <v>12847367</v>
      </c>
      <c r="R11">
        <v>0.79</v>
      </c>
      <c r="S11" t="s">
        <v>51</v>
      </c>
      <c r="T11" t="s">
        <v>52</v>
      </c>
      <c r="U11">
        <v>2.78</v>
      </c>
      <c r="V11">
        <v>4</v>
      </c>
      <c r="W11">
        <v>10091</v>
      </c>
      <c r="X11">
        <v>22034</v>
      </c>
      <c r="Y11">
        <v>0.46</v>
      </c>
      <c r="Z11">
        <v>378</v>
      </c>
      <c r="AA11">
        <v>1381</v>
      </c>
      <c r="AB11" t="s">
        <v>31</v>
      </c>
    </row>
    <row r="12" spans="1:28">
      <c r="A12" t="str">
        <f>"600015"</f>
        <v>600015</v>
      </c>
      <c r="B12" t="s">
        <v>53</v>
      </c>
      <c r="C12">
        <v>1.65</v>
      </c>
      <c r="D12">
        <v>7.99</v>
      </c>
      <c r="E12">
        <v>0.13</v>
      </c>
      <c r="F12">
        <v>7.98</v>
      </c>
      <c r="G12">
        <v>7.99</v>
      </c>
      <c r="H12">
        <v>590157</v>
      </c>
      <c r="I12">
        <v>54</v>
      </c>
      <c r="J12">
        <v>0</v>
      </c>
      <c r="K12">
        <v>0.91</v>
      </c>
      <c r="L12">
        <v>7.91</v>
      </c>
      <c r="M12">
        <v>8</v>
      </c>
      <c r="N12">
        <v>7.82</v>
      </c>
      <c r="O12">
        <v>7.86</v>
      </c>
      <c r="P12">
        <v>4.87</v>
      </c>
      <c r="Q12">
        <v>466808192</v>
      </c>
      <c r="R12">
        <v>1.33</v>
      </c>
      <c r="S12" t="s">
        <v>29</v>
      </c>
      <c r="T12" t="s">
        <v>42</v>
      </c>
      <c r="U12">
        <v>2.29</v>
      </c>
      <c r="V12">
        <v>7.91</v>
      </c>
      <c r="W12">
        <v>308184</v>
      </c>
      <c r="X12">
        <v>281973</v>
      </c>
      <c r="Y12">
        <v>1.0900000000000001</v>
      </c>
      <c r="Z12">
        <v>989</v>
      </c>
      <c r="AA12">
        <v>537</v>
      </c>
      <c r="AB12" t="s">
        <v>31</v>
      </c>
    </row>
    <row r="13" spans="1:28">
      <c r="A13" t="str">
        <f>"600016"</f>
        <v>600016</v>
      </c>
      <c r="B13" t="s">
        <v>54</v>
      </c>
      <c r="C13">
        <v>0.33</v>
      </c>
      <c r="D13">
        <v>9.18</v>
      </c>
      <c r="E13">
        <v>0.03</v>
      </c>
      <c r="F13">
        <v>9.17</v>
      </c>
      <c r="G13">
        <v>9.18</v>
      </c>
      <c r="H13">
        <v>1074969</v>
      </c>
      <c r="I13">
        <v>514</v>
      </c>
      <c r="J13">
        <v>-0.1</v>
      </c>
      <c r="K13">
        <v>0.48</v>
      </c>
      <c r="L13">
        <v>9.18</v>
      </c>
      <c r="M13">
        <v>9.2200000000000006</v>
      </c>
      <c r="N13">
        <v>9.02</v>
      </c>
      <c r="O13">
        <v>9.15</v>
      </c>
      <c r="P13">
        <v>5.67</v>
      </c>
      <c r="Q13">
        <v>983078720</v>
      </c>
      <c r="R13">
        <v>0.69</v>
      </c>
      <c r="S13" t="s">
        <v>29</v>
      </c>
      <c r="T13" t="s">
        <v>42</v>
      </c>
      <c r="U13">
        <v>2.19</v>
      </c>
      <c r="V13">
        <v>9.15</v>
      </c>
      <c r="W13">
        <v>585480</v>
      </c>
      <c r="X13">
        <v>489489</v>
      </c>
      <c r="Y13">
        <v>1.2</v>
      </c>
      <c r="Z13">
        <v>3861</v>
      </c>
      <c r="AA13">
        <v>3305</v>
      </c>
      <c r="AB13" t="s">
        <v>31</v>
      </c>
    </row>
    <row r="14" spans="1:28">
      <c r="A14" t="str">
        <f>"600017"</f>
        <v>600017</v>
      </c>
      <c r="B14" t="s">
        <v>55</v>
      </c>
      <c r="C14">
        <v>3.88</v>
      </c>
      <c r="D14">
        <v>2.68</v>
      </c>
      <c r="E14">
        <v>0.1</v>
      </c>
      <c r="F14">
        <v>2.67</v>
      </c>
      <c r="G14">
        <v>2.68</v>
      </c>
      <c r="H14">
        <v>77546</v>
      </c>
      <c r="I14">
        <v>1</v>
      </c>
      <c r="J14">
        <v>0.37</v>
      </c>
      <c r="K14">
        <v>0.28999999999999998</v>
      </c>
      <c r="L14">
        <v>2.58</v>
      </c>
      <c r="M14">
        <v>2.68</v>
      </c>
      <c r="N14">
        <v>2.57</v>
      </c>
      <c r="O14">
        <v>2.58</v>
      </c>
      <c r="P14">
        <v>10.11</v>
      </c>
      <c r="Q14">
        <v>20332968</v>
      </c>
      <c r="R14">
        <v>1.1000000000000001</v>
      </c>
      <c r="S14" t="s">
        <v>56</v>
      </c>
      <c r="T14" t="s">
        <v>57</v>
      </c>
      <c r="U14">
        <v>4.26</v>
      </c>
      <c r="V14">
        <v>2.62</v>
      </c>
      <c r="W14">
        <v>31908</v>
      </c>
      <c r="X14">
        <v>45638</v>
      </c>
      <c r="Y14">
        <v>0.7</v>
      </c>
      <c r="Z14">
        <v>1404</v>
      </c>
      <c r="AA14">
        <v>3855</v>
      </c>
      <c r="AB14" t="s">
        <v>31</v>
      </c>
    </row>
    <row r="15" spans="1:28">
      <c r="A15" t="str">
        <f>"600018"</f>
        <v>600018</v>
      </c>
      <c r="B15" t="s">
        <v>58</v>
      </c>
      <c r="C15">
        <v>-2.17</v>
      </c>
      <c r="D15">
        <v>4.96</v>
      </c>
      <c r="E15">
        <v>-0.11</v>
      </c>
      <c r="F15">
        <v>4.96</v>
      </c>
      <c r="G15">
        <v>4.97</v>
      </c>
      <c r="H15">
        <v>1355177</v>
      </c>
      <c r="I15">
        <v>580</v>
      </c>
      <c r="J15">
        <v>0</v>
      </c>
      <c r="K15">
        <v>0.65</v>
      </c>
      <c r="L15">
        <v>4.9000000000000004</v>
      </c>
      <c r="M15">
        <v>5.07</v>
      </c>
      <c r="N15">
        <v>4.87</v>
      </c>
      <c r="O15">
        <v>5.07</v>
      </c>
      <c r="P15">
        <v>22.12</v>
      </c>
      <c r="Q15">
        <v>673161216</v>
      </c>
      <c r="R15">
        <v>1.1000000000000001</v>
      </c>
      <c r="S15" t="s">
        <v>56</v>
      </c>
      <c r="T15" t="s">
        <v>30</v>
      </c>
      <c r="U15">
        <v>3.94</v>
      </c>
      <c r="V15">
        <v>4.97</v>
      </c>
      <c r="W15">
        <v>593443</v>
      </c>
      <c r="X15">
        <v>761734</v>
      </c>
      <c r="Y15">
        <v>0.78</v>
      </c>
      <c r="Z15">
        <v>392</v>
      </c>
      <c r="AA15">
        <v>3582</v>
      </c>
      <c r="AB15" t="s">
        <v>31</v>
      </c>
    </row>
    <row r="16" spans="1:28">
      <c r="A16" t="str">
        <f>"600019"</f>
        <v>600019</v>
      </c>
      <c r="B16" t="s">
        <v>59</v>
      </c>
      <c r="C16">
        <v>0.99</v>
      </c>
      <c r="D16">
        <v>4.07</v>
      </c>
      <c r="E16">
        <v>0.04</v>
      </c>
      <c r="F16">
        <v>4.07</v>
      </c>
      <c r="G16">
        <v>4.08</v>
      </c>
      <c r="H16">
        <v>207397</v>
      </c>
      <c r="I16">
        <v>114</v>
      </c>
      <c r="J16">
        <v>-0.24</v>
      </c>
      <c r="K16">
        <v>0.13</v>
      </c>
      <c r="L16">
        <v>4.0199999999999996</v>
      </c>
      <c r="M16">
        <v>4.09</v>
      </c>
      <c r="N16">
        <v>4.01</v>
      </c>
      <c r="O16">
        <v>4.03</v>
      </c>
      <c r="P16">
        <v>9.0500000000000007</v>
      </c>
      <c r="Q16">
        <v>83951152</v>
      </c>
      <c r="R16">
        <v>0.8</v>
      </c>
      <c r="S16" t="s">
        <v>36</v>
      </c>
      <c r="T16" t="s">
        <v>30</v>
      </c>
      <c r="U16">
        <v>1.99</v>
      </c>
      <c r="V16">
        <v>4.05</v>
      </c>
      <c r="W16">
        <v>93622</v>
      </c>
      <c r="X16">
        <v>113775</v>
      </c>
      <c r="Y16">
        <v>0.82</v>
      </c>
      <c r="Z16">
        <v>1311</v>
      </c>
      <c r="AA16">
        <v>1277</v>
      </c>
      <c r="AB16" t="s">
        <v>31</v>
      </c>
    </row>
    <row r="17" spans="1:28">
      <c r="A17" t="str">
        <f>"600020"</f>
        <v>600020</v>
      </c>
      <c r="B17" t="s">
        <v>60</v>
      </c>
      <c r="C17">
        <v>1.8</v>
      </c>
      <c r="D17">
        <v>2.2599999999999998</v>
      </c>
      <c r="E17">
        <v>0.04</v>
      </c>
      <c r="F17">
        <v>2.2599999999999998</v>
      </c>
      <c r="G17">
        <v>2.27</v>
      </c>
      <c r="H17">
        <v>38197</v>
      </c>
      <c r="I17">
        <v>200</v>
      </c>
      <c r="J17">
        <v>-0.44</v>
      </c>
      <c r="K17">
        <v>0.17</v>
      </c>
      <c r="L17">
        <v>2.2200000000000002</v>
      </c>
      <c r="M17">
        <v>2.2799999999999998</v>
      </c>
      <c r="N17">
        <v>2.19</v>
      </c>
      <c r="O17">
        <v>2.2200000000000002</v>
      </c>
      <c r="P17">
        <v>10.35</v>
      </c>
      <c r="Q17">
        <v>8572844</v>
      </c>
      <c r="R17">
        <v>0.82</v>
      </c>
      <c r="S17" t="s">
        <v>51</v>
      </c>
      <c r="T17" t="s">
        <v>61</v>
      </c>
      <c r="U17">
        <v>4.05</v>
      </c>
      <c r="V17">
        <v>2.2400000000000002</v>
      </c>
      <c r="W17">
        <v>15782</v>
      </c>
      <c r="X17">
        <v>22415</v>
      </c>
      <c r="Y17">
        <v>0.7</v>
      </c>
      <c r="Z17">
        <v>25</v>
      </c>
      <c r="AA17">
        <v>1587</v>
      </c>
      <c r="AB17" t="s">
        <v>31</v>
      </c>
    </row>
    <row r="18" spans="1:28">
      <c r="A18" t="str">
        <f>"600021"</f>
        <v>600021</v>
      </c>
      <c r="B18" t="s">
        <v>62</v>
      </c>
      <c r="C18">
        <v>1.02</v>
      </c>
      <c r="D18">
        <v>5.97</v>
      </c>
      <c r="E18">
        <v>0.06</v>
      </c>
      <c r="F18">
        <v>5.97</v>
      </c>
      <c r="G18">
        <v>5.98</v>
      </c>
      <c r="H18">
        <v>357925</v>
      </c>
      <c r="I18">
        <v>52</v>
      </c>
      <c r="J18">
        <v>0.67</v>
      </c>
      <c r="K18">
        <v>1.67</v>
      </c>
      <c r="L18">
        <v>5.85</v>
      </c>
      <c r="M18">
        <v>6.1</v>
      </c>
      <c r="N18">
        <v>5.68</v>
      </c>
      <c r="O18">
        <v>5.91</v>
      </c>
      <c r="P18">
        <v>10.68</v>
      </c>
      <c r="Q18">
        <v>213361136</v>
      </c>
      <c r="R18">
        <v>0.8</v>
      </c>
      <c r="S18" t="s">
        <v>49</v>
      </c>
      <c r="T18" t="s">
        <v>30</v>
      </c>
      <c r="U18">
        <v>7.11</v>
      </c>
      <c r="V18">
        <v>5.96</v>
      </c>
      <c r="W18">
        <v>162371</v>
      </c>
      <c r="X18">
        <v>195554</v>
      </c>
      <c r="Y18">
        <v>0.83</v>
      </c>
      <c r="Z18">
        <v>14</v>
      </c>
      <c r="AA18">
        <v>1048</v>
      </c>
      <c r="AB18" t="s">
        <v>31</v>
      </c>
    </row>
    <row r="19" spans="1:28">
      <c r="A19" t="str">
        <f>"600022"</f>
        <v>600022</v>
      </c>
      <c r="B19" t="s">
        <v>63</v>
      </c>
      <c r="C19">
        <v>1.19</v>
      </c>
      <c r="D19">
        <v>1.7</v>
      </c>
      <c r="E19">
        <v>0.02</v>
      </c>
      <c r="F19">
        <v>1.7</v>
      </c>
      <c r="G19">
        <v>1.71</v>
      </c>
      <c r="H19">
        <v>114848</v>
      </c>
      <c r="I19">
        <v>5</v>
      </c>
      <c r="J19">
        <v>0</v>
      </c>
      <c r="K19">
        <v>0.21</v>
      </c>
      <c r="L19">
        <v>1.68</v>
      </c>
      <c r="M19">
        <v>1.71</v>
      </c>
      <c r="N19">
        <v>1.67</v>
      </c>
      <c r="O19">
        <v>1.68</v>
      </c>
      <c r="P19" t="s">
        <v>31</v>
      </c>
      <c r="Q19">
        <v>19462120</v>
      </c>
      <c r="R19">
        <v>0.91</v>
      </c>
      <c r="S19" t="s">
        <v>36</v>
      </c>
      <c r="T19" t="s">
        <v>57</v>
      </c>
      <c r="U19">
        <v>2.38</v>
      </c>
      <c r="V19">
        <v>1.69</v>
      </c>
      <c r="W19">
        <v>32531</v>
      </c>
      <c r="X19">
        <v>82317</v>
      </c>
      <c r="Y19">
        <v>0.4</v>
      </c>
      <c r="Z19">
        <v>11862</v>
      </c>
      <c r="AA19">
        <v>2149</v>
      </c>
      <c r="AB19" t="s">
        <v>31</v>
      </c>
    </row>
    <row r="20" spans="1:28">
      <c r="A20" t="str">
        <f>"600026"</f>
        <v>600026</v>
      </c>
      <c r="B20" t="s">
        <v>64</v>
      </c>
      <c r="C20">
        <v>0.94</v>
      </c>
      <c r="D20">
        <v>4.3</v>
      </c>
      <c r="E20">
        <v>0.04</v>
      </c>
      <c r="F20">
        <v>4.29</v>
      </c>
      <c r="G20">
        <v>4.3</v>
      </c>
      <c r="H20">
        <v>66823</v>
      </c>
      <c r="I20">
        <v>150</v>
      </c>
      <c r="J20">
        <v>0</v>
      </c>
      <c r="K20">
        <v>0.32</v>
      </c>
      <c r="L20">
        <v>4.2</v>
      </c>
      <c r="M20">
        <v>4.3499999999999996</v>
      </c>
      <c r="N20">
        <v>4.18</v>
      </c>
      <c r="O20">
        <v>4.26</v>
      </c>
      <c r="P20" t="s">
        <v>31</v>
      </c>
      <c r="Q20">
        <v>28473826</v>
      </c>
      <c r="R20">
        <v>0.67</v>
      </c>
      <c r="S20" t="s">
        <v>65</v>
      </c>
      <c r="T20" t="s">
        <v>30</v>
      </c>
      <c r="U20">
        <v>3.99</v>
      </c>
      <c r="V20">
        <v>4.26</v>
      </c>
      <c r="W20">
        <v>28113</v>
      </c>
      <c r="X20">
        <v>38710</v>
      </c>
      <c r="Y20">
        <v>0.73</v>
      </c>
      <c r="Z20">
        <v>422</v>
      </c>
      <c r="AA20">
        <v>129</v>
      </c>
      <c r="AB20" t="s">
        <v>31</v>
      </c>
    </row>
    <row r="21" spans="1:28">
      <c r="A21" t="str">
        <f>"600027"</f>
        <v>600027</v>
      </c>
      <c r="B21" t="s">
        <v>66</v>
      </c>
      <c r="C21">
        <v>4.91</v>
      </c>
      <c r="D21">
        <v>3.42</v>
      </c>
      <c r="E21">
        <v>0.16</v>
      </c>
      <c r="F21">
        <v>3.42</v>
      </c>
      <c r="G21">
        <v>3.43</v>
      </c>
      <c r="H21">
        <v>1603832</v>
      </c>
      <c r="I21">
        <v>59</v>
      </c>
      <c r="J21">
        <v>0</v>
      </c>
      <c r="K21">
        <v>2.73</v>
      </c>
      <c r="L21">
        <v>3.29</v>
      </c>
      <c r="M21">
        <v>3.53</v>
      </c>
      <c r="N21">
        <v>3.25</v>
      </c>
      <c r="O21">
        <v>3.26</v>
      </c>
      <c r="P21">
        <v>7.44</v>
      </c>
      <c r="Q21">
        <v>545848832</v>
      </c>
      <c r="R21">
        <v>4.8</v>
      </c>
      <c r="S21" t="s">
        <v>49</v>
      </c>
      <c r="T21" t="s">
        <v>57</v>
      </c>
      <c r="U21">
        <v>8.59</v>
      </c>
      <c r="V21">
        <v>3.4</v>
      </c>
      <c r="W21">
        <v>640856</v>
      </c>
      <c r="X21">
        <v>962976</v>
      </c>
      <c r="Y21">
        <v>0.67</v>
      </c>
      <c r="Z21">
        <v>1527</v>
      </c>
      <c r="AA21">
        <v>6817</v>
      </c>
      <c r="AB21" t="s">
        <v>31</v>
      </c>
    </row>
    <row r="22" spans="1:28">
      <c r="A22" t="str">
        <f>"600028"</f>
        <v>600028</v>
      </c>
      <c r="B22" t="s">
        <v>67</v>
      </c>
      <c r="C22">
        <v>3.46</v>
      </c>
      <c r="D22">
        <v>4.49</v>
      </c>
      <c r="E22">
        <v>0.15</v>
      </c>
      <c r="F22">
        <v>4.49</v>
      </c>
      <c r="G22">
        <v>4.5</v>
      </c>
      <c r="H22">
        <v>1068798</v>
      </c>
      <c r="I22">
        <v>91</v>
      </c>
      <c r="J22">
        <v>-0.22</v>
      </c>
      <c r="K22">
        <v>0.12</v>
      </c>
      <c r="L22">
        <v>4.37</v>
      </c>
      <c r="M22">
        <v>4.5</v>
      </c>
      <c r="N22">
        <v>4.3499999999999996</v>
      </c>
      <c r="O22">
        <v>4.34</v>
      </c>
      <c r="P22">
        <v>8.9</v>
      </c>
      <c r="Q22">
        <v>477208672</v>
      </c>
      <c r="R22">
        <v>2.9</v>
      </c>
      <c r="S22" t="s">
        <v>68</v>
      </c>
      <c r="T22" t="s">
        <v>42</v>
      </c>
      <c r="U22">
        <v>3.46</v>
      </c>
      <c r="V22">
        <v>4.46</v>
      </c>
      <c r="W22">
        <v>519533</v>
      </c>
      <c r="X22">
        <v>549265</v>
      </c>
      <c r="Y22">
        <v>0.95</v>
      </c>
      <c r="Z22">
        <v>6388</v>
      </c>
      <c r="AA22">
        <v>25791</v>
      </c>
      <c r="AB22" t="s">
        <v>31</v>
      </c>
    </row>
    <row r="23" spans="1:28">
      <c r="A23" t="str">
        <f>"600029"</f>
        <v>600029</v>
      </c>
      <c r="B23" t="s">
        <v>69</v>
      </c>
      <c r="C23">
        <v>2.21</v>
      </c>
      <c r="D23">
        <v>2.78</v>
      </c>
      <c r="E23">
        <v>0.06</v>
      </c>
      <c r="F23">
        <v>2.78</v>
      </c>
      <c r="G23">
        <v>2.79</v>
      </c>
      <c r="H23">
        <v>260527</v>
      </c>
      <c r="I23">
        <v>4</v>
      </c>
      <c r="J23">
        <v>0</v>
      </c>
      <c r="K23">
        <v>0.38</v>
      </c>
      <c r="L23">
        <v>2.73</v>
      </c>
      <c r="M23">
        <v>2.79</v>
      </c>
      <c r="N23">
        <v>2.72</v>
      </c>
      <c r="O23">
        <v>2.72</v>
      </c>
      <c r="P23">
        <v>45.19</v>
      </c>
      <c r="Q23">
        <v>71896384</v>
      </c>
      <c r="R23">
        <v>1.39</v>
      </c>
      <c r="S23" t="s">
        <v>70</v>
      </c>
      <c r="T23" t="s">
        <v>34</v>
      </c>
      <c r="U23">
        <v>2.57</v>
      </c>
      <c r="V23">
        <v>2.76</v>
      </c>
      <c r="W23">
        <v>85373</v>
      </c>
      <c r="X23">
        <v>175154</v>
      </c>
      <c r="Y23">
        <v>0.49</v>
      </c>
      <c r="Z23">
        <v>8263</v>
      </c>
      <c r="AA23">
        <v>17765</v>
      </c>
      <c r="AB23" t="s">
        <v>31</v>
      </c>
    </row>
    <row r="24" spans="1:28">
      <c r="A24" t="str">
        <f>"600030"</f>
        <v>600030</v>
      </c>
      <c r="B24" t="s">
        <v>71</v>
      </c>
      <c r="C24">
        <v>0.57999999999999996</v>
      </c>
      <c r="D24">
        <v>12.1</v>
      </c>
      <c r="E24">
        <v>7.0000000000000007E-2</v>
      </c>
      <c r="F24">
        <v>12.1</v>
      </c>
      <c r="G24">
        <v>12.11</v>
      </c>
      <c r="H24">
        <v>904689</v>
      </c>
      <c r="I24">
        <v>578</v>
      </c>
      <c r="J24">
        <v>0.66</v>
      </c>
      <c r="K24">
        <v>0.92</v>
      </c>
      <c r="L24">
        <v>11.97</v>
      </c>
      <c r="M24">
        <v>12.12</v>
      </c>
      <c r="N24">
        <v>11.84</v>
      </c>
      <c r="O24">
        <v>12.03</v>
      </c>
      <c r="P24">
        <v>31.59</v>
      </c>
      <c r="Q24">
        <v>1082581248</v>
      </c>
      <c r="R24">
        <v>1.1100000000000001</v>
      </c>
      <c r="S24" t="s">
        <v>72</v>
      </c>
      <c r="T24" t="s">
        <v>73</v>
      </c>
      <c r="U24">
        <v>2.33</v>
      </c>
      <c r="V24">
        <v>11.97</v>
      </c>
      <c r="W24">
        <v>421854</v>
      </c>
      <c r="X24">
        <v>482835</v>
      </c>
      <c r="Y24">
        <v>0.87</v>
      </c>
      <c r="Z24">
        <v>655</v>
      </c>
      <c r="AA24">
        <v>7592</v>
      </c>
      <c r="AB24" t="s">
        <v>31</v>
      </c>
    </row>
    <row r="25" spans="1:28">
      <c r="A25" t="str">
        <f>"600031"</f>
        <v>600031</v>
      </c>
      <c r="B25" t="s">
        <v>74</v>
      </c>
      <c r="C25">
        <v>1.42</v>
      </c>
      <c r="D25">
        <v>7.15</v>
      </c>
      <c r="E25">
        <v>0.1</v>
      </c>
      <c r="F25">
        <v>7.14</v>
      </c>
      <c r="G25">
        <v>7.15</v>
      </c>
      <c r="H25">
        <v>222308</v>
      </c>
      <c r="I25">
        <v>10</v>
      </c>
      <c r="J25">
        <v>-0.27</v>
      </c>
      <c r="K25">
        <v>0.31</v>
      </c>
      <c r="L25">
        <v>7.1</v>
      </c>
      <c r="M25">
        <v>7.21</v>
      </c>
      <c r="N25">
        <v>7.05</v>
      </c>
      <c r="O25">
        <v>7.05</v>
      </c>
      <c r="P25">
        <v>10.27</v>
      </c>
      <c r="Q25">
        <v>158131904</v>
      </c>
      <c r="R25">
        <v>0.74</v>
      </c>
      <c r="S25" t="s">
        <v>75</v>
      </c>
      <c r="T25" t="s">
        <v>76</v>
      </c>
      <c r="U25">
        <v>2.27</v>
      </c>
      <c r="V25">
        <v>7.11</v>
      </c>
      <c r="W25">
        <v>96075</v>
      </c>
      <c r="X25">
        <v>126233</v>
      </c>
      <c r="Y25">
        <v>0.76</v>
      </c>
      <c r="Z25">
        <v>472</v>
      </c>
      <c r="AA25">
        <v>98</v>
      </c>
      <c r="AB25" t="s">
        <v>31</v>
      </c>
    </row>
    <row r="26" spans="1:28">
      <c r="A26" t="str">
        <f>"600033"</f>
        <v>600033</v>
      </c>
      <c r="B26" t="s">
        <v>77</v>
      </c>
      <c r="C26">
        <v>1.46</v>
      </c>
      <c r="D26">
        <v>2.09</v>
      </c>
      <c r="E26">
        <v>0.03</v>
      </c>
      <c r="F26">
        <v>2.08</v>
      </c>
      <c r="G26">
        <v>2.09</v>
      </c>
      <c r="H26">
        <v>54478</v>
      </c>
      <c r="I26">
        <v>38</v>
      </c>
      <c r="J26">
        <v>0.48</v>
      </c>
      <c r="K26">
        <v>0.41</v>
      </c>
      <c r="L26">
        <v>2.06</v>
      </c>
      <c r="M26">
        <v>2.09</v>
      </c>
      <c r="N26">
        <v>2.04</v>
      </c>
      <c r="O26">
        <v>2.06</v>
      </c>
      <c r="P26">
        <v>9.73</v>
      </c>
      <c r="Q26">
        <v>11265270</v>
      </c>
      <c r="R26">
        <v>0.63</v>
      </c>
      <c r="S26" t="s">
        <v>51</v>
      </c>
      <c r="T26" t="s">
        <v>78</v>
      </c>
      <c r="U26">
        <v>2.4300000000000002</v>
      </c>
      <c r="V26">
        <v>2.0699999999999998</v>
      </c>
      <c r="W26">
        <v>23507</v>
      </c>
      <c r="X26">
        <v>30971</v>
      </c>
      <c r="Y26">
        <v>0.76</v>
      </c>
      <c r="Z26">
        <v>2422</v>
      </c>
      <c r="AA26">
        <v>2669</v>
      </c>
      <c r="AB26" t="s">
        <v>31</v>
      </c>
    </row>
    <row r="27" spans="1:28">
      <c r="A27" t="str">
        <f>"600035"</f>
        <v>600035</v>
      </c>
      <c r="B27" t="s">
        <v>79</v>
      </c>
      <c r="C27">
        <v>1.31</v>
      </c>
      <c r="D27">
        <v>3.09</v>
      </c>
      <c r="E27">
        <v>0.04</v>
      </c>
      <c r="F27">
        <v>3.09</v>
      </c>
      <c r="G27">
        <v>3.1</v>
      </c>
      <c r="H27">
        <v>21404</v>
      </c>
      <c r="I27">
        <v>13</v>
      </c>
      <c r="J27">
        <v>-0.32</v>
      </c>
      <c r="K27">
        <v>0.23</v>
      </c>
      <c r="L27">
        <v>3.05</v>
      </c>
      <c r="M27">
        <v>3.11</v>
      </c>
      <c r="N27">
        <v>3.03</v>
      </c>
      <c r="O27">
        <v>3.05</v>
      </c>
      <c r="P27">
        <v>9.39</v>
      </c>
      <c r="Q27">
        <v>6582364</v>
      </c>
      <c r="R27">
        <v>0.87</v>
      </c>
      <c r="S27" t="s">
        <v>51</v>
      </c>
      <c r="T27" t="s">
        <v>37</v>
      </c>
      <c r="U27">
        <v>2.62</v>
      </c>
      <c r="V27">
        <v>3.08</v>
      </c>
      <c r="W27">
        <v>10559</v>
      </c>
      <c r="X27">
        <v>10845</v>
      </c>
      <c r="Y27">
        <v>0.97</v>
      </c>
      <c r="Z27">
        <v>105</v>
      </c>
      <c r="AA27">
        <v>355</v>
      </c>
      <c r="AB27" t="s">
        <v>31</v>
      </c>
    </row>
    <row r="28" spans="1:28">
      <c r="A28" t="str">
        <f>"600036"</f>
        <v>600036</v>
      </c>
      <c r="B28" t="s">
        <v>80</v>
      </c>
      <c r="C28">
        <v>0.55000000000000004</v>
      </c>
      <c r="D28">
        <v>10.91</v>
      </c>
      <c r="E28">
        <v>0.06</v>
      </c>
      <c r="F28">
        <v>10.9</v>
      </c>
      <c r="G28">
        <v>10.91</v>
      </c>
      <c r="H28">
        <v>787341</v>
      </c>
      <c r="I28">
        <v>10</v>
      </c>
      <c r="J28">
        <v>0</v>
      </c>
      <c r="K28">
        <v>0.38</v>
      </c>
      <c r="L28">
        <v>10.9</v>
      </c>
      <c r="M28">
        <v>10.92</v>
      </c>
      <c r="N28">
        <v>10.75</v>
      </c>
      <c r="O28">
        <v>10.85</v>
      </c>
      <c r="P28">
        <v>5.24</v>
      </c>
      <c r="Q28">
        <v>855045312</v>
      </c>
      <c r="R28">
        <v>1.1200000000000001</v>
      </c>
      <c r="S28" t="s">
        <v>29</v>
      </c>
      <c r="T28" t="s">
        <v>73</v>
      </c>
      <c r="U28">
        <v>1.57</v>
      </c>
      <c r="V28">
        <v>10.86</v>
      </c>
      <c r="W28">
        <v>346589</v>
      </c>
      <c r="X28">
        <v>440752</v>
      </c>
      <c r="Y28">
        <v>0.79</v>
      </c>
      <c r="Z28">
        <v>660</v>
      </c>
      <c r="AA28">
        <v>368</v>
      </c>
      <c r="AB28" t="s">
        <v>31</v>
      </c>
    </row>
    <row r="29" spans="1:28">
      <c r="A29" t="str">
        <f>"600037"</f>
        <v>600037</v>
      </c>
      <c r="B29" t="s">
        <v>81</v>
      </c>
      <c r="C29">
        <v>2.33</v>
      </c>
      <c r="D29">
        <v>8.35</v>
      </c>
      <c r="E29">
        <v>0.19</v>
      </c>
      <c r="F29">
        <v>8.34</v>
      </c>
      <c r="G29">
        <v>8.35</v>
      </c>
      <c r="H29">
        <v>150941</v>
      </c>
      <c r="I29">
        <v>28</v>
      </c>
      <c r="J29">
        <v>0.11</v>
      </c>
      <c r="K29">
        <v>1.42</v>
      </c>
      <c r="L29">
        <v>8.16</v>
      </c>
      <c r="M29">
        <v>8.41</v>
      </c>
      <c r="N29">
        <v>8.1199999999999992</v>
      </c>
      <c r="O29">
        <v>8.16</v>
      </c>
      <c r="P29">
        <v>28.7</v>
      </c>
      <c r="Q29">
        <v>125277648</v>
      </c>
      <c r="R29">
        <v>0.7</v>
      </c>
      <c r="S29" t="s">
        <v>82</v>
      </c>
      <c r="T29" t="s">
        <v>42</v>
      </c>
      <c r="U29">
        <v>3.55</v>
      </c>
      <c r="V29">
        <v>8.3000000000000007</v>
      </c>
      <c r="W29">
        <v>70040</v>
      </c>
      <c r="X29">
        <v>80901</v>
      </c>
      <c r="Y29">
        <v>0.87</v>
      </c>
      <c r="Z29">
        <v>216</v>
      </c>
      <c r="AA29">
        <v>56</v>
      </c>
      <c r="AB29" t="s">
        <v>31</v>
      </c>
    </row>
    <row r="30" spans="1:28">
      <c r="A30" t="str">
        <f>"600038"</f>
        <v>600038</v>
      </c>
      <c r="B30" t="s">
        <v>83</v>
      </c>
      <c r="C30">
        <v>0.85</v>
      </c>
      <c r="D30">
        <v>25.05</v>
      </c>
      <c r="E30">
        <v>0.21</v>
      </c>
      <c r="F30">
        <v>25.01</v>
      </c>
      <c r="G30">
        <v>25.07</v>
      </c>
      <c r="H30">
        <v>27113</v>
      </c>
      <c r="I30">
        <v>8</v>
      </c>
      <c r="J30">
        <v>0.15</v>
      </c>
      <c r="K30">
        <v>0.8</v>
      </c>
      <c r="L30">
        <v>24.78</v>
      </c>
      <c r="M30">
        <v>25.6</v>
      </c>
      <c r="N30">
        <v>24.58</v>
      </c>
      <c r="O30">
        <v>24.84</v>
      </c>
      <c r="P30">
        <v>62.21</v>
      </c>
      <c r="Q30">
        <v>67553800</v>
      </c>
      <c r="R30">
        <v>0.97</v>
      </c>
      <c r="S30" t="s">
        <v>84</v>
      </c>
      <c r="T30" t="s">
        <v>85</v>
      </c>
      <c r="U30">
        <v>4.1100000000000003</v>
      </c>
      <c r="V30">
        <v>24.91</v>
      </c>
      <c r="W30">
        <v>15172</v>
      </c>
      <c r="X30">
        <v>11941</v>
      </c>
      <c r="Y30">
        <v>1.27</v>
      </c>
      <c r="Z30">
        <v>21</v>
      </c>
      <c r="AA30">
        <v>7</v>
      </c>
      <c r="AB30" t="s">
        <v>31</v>
      </c>
    </row>
    <row r="31" spans="1:28">
      <c r="A31" t="str">
        <f>"600039"</f>
        <v>600039</v>
      </c>
      <c r="B31" t="s">
        <v>86</v>
      </c>
      <c r="C31">
        <v>3.88</v>
      </c>
      <c r="D31">
        <v>6.7</v>
      </c>
      <c r="E31">
        <v>0.25</v>
      </c>
      <c r="F31">
        <v>6.68</v>
      </c>
      <c r="G31">
        <v>6.69</v>
      </c>
      <c r="H31">
        <v>230518</v>
      </c>
      <c r="I31">
        <v>186</v>
      </c>
      <c r="J31">
        <v>0</v>
      </c>
      <c r="K31">
        <v>4.21</v>
      </c>
      <c r="L31">
        <v>6.38</v>
      </c>
      <c r="M31">
        <v>6.73</v>
      </c>
      <c r="N31">
        <v>6.26</v>
      </c>
      <c r="O31">
        <v>6.45</v>
      </c>
      <c r="P31">
        <v>14.18</v>
      </c>
      <c r="Q31">
        <v>150280384</v>
      </c>
      <c r="R31">
        <v>0.54</v>
      </c>
      <c r="S31" t="s">
        <v>87</v>
      </c>
      <c r="T31" t="s">
        <v>88</v>
      </c>
      <c r="U31">
        <v>7.29</v>
      </c>
      <c r="V31">
        <v>6.52</v>
      </c>
      <c r="W31">
        <v>111435</v>
      </c>
      <c r="X31">
        <v>119083</v>
      </c>
      <c r="Y31">
        <v>0.94</v>
      </c>
      <c r="Z31">
        <v>303</v>
      </c>
      <c r="AA31">
        <v>115</v>
      </c>
      <c r="AB31" t="s">
        <v>31</v>
      </c>
    </row>
    <row r="32" spans="1:28">
      <c r="A32" t="str">
        <f>"600048"</f>
        <v>600048</v>
      </c>
      <c r="B32" t="s">
        <v>89</v>
      </c>
      <c r="C32">
        <v>2.19</v>
      </c>
      <c r="D32">
        <v>9.34</v>
      </c>
      <c r="E32">
        <v>0.2</v>
      </c>
      <c r="F32">
        <v>9.33</v>
      </c>
      <c r="G32">
        <v>9.34</v>
      </c>
      <c r="H32">
        <v>485745</v>
      </c>
      <c r="I32">
        <v>2</v>
      </c>
      <c r="J32">
        <v>0</v>
      </c>
      <c r="K32">
        <v>0.68</v>
      </c>
      <c r="L32">
        <v>9.18</v>
      </c>
      <c r="M32">
        <v>9.3800000000000008</v>
      </c>
      <c r="N32">
        <v>9.0299999999999994</v>
      </c>
      <c r="O32">
        <v>9.14</v>
      </c>
      <c r="P32">
        <v>10.84</v>
      </c>
      <c r="Q32">
        <v>448795552</v>
      </c>
      <c r="R32">
        <v>1</v>
      </c>
      <c r="S32" t="s">
        <v>90</v>
      </c>
      <c r="T32" t="s">
        <v>34</v>
      </c>
      <c r="U32">
        <v>3.83</v>
      </c>
      <c r="V32">
        <v>9.24</v>
      </c>
      <c r="W32">
        <v>259806</v>
      </c>
      <c r="X32">
        <v>225939</v>
      </c>
      <c r="Y32">
        <v>1.1499999999999999</v>
      </c>
      <c r="Z32">
        <v>1513</v>
      </c>
      <c r="AA32">
        <v>67</v>
      </c>
      <c r="AB32" t="s">
        <v>31</v>
      </c>
    </row>
    <row r="33" spans="1:28">
      <c r="A33" t="str">
        <f>"600050"</f>
        <v>600050</v>
      </c>
      <c r="B33" t="s">
        <v>91</v>
      </c>
      <c r="C33">
        <v>1.2</v>
      </c>
      <c r="D33">
        <v>3.37</v>
      </c>
      <c r="E33">
        <v>0.04</v>
      </c>
      <c r="F33">
        <v>3.37</v>
      </c>
      <c r="G33">
        <v>3.38</v>
      </c>
      <c r="H33">
        <v>858368</v>
      </c>
      <c r="I33">
        <v>36</v>
      </c>
      <c r="J33">
        <v>-0.28999999999999998</v>
      </c>
      <c r="K33">
        <v>0.4</v>
      </c>
      <c r="L33">
        <v>3.34</v>
      </c>
      <c r="M33">
        <v>3.38</v>
      </c>
      <c r="N33">
        <v>3.33</v>
      </c>
      <c r="O33">
        <v>3.33</v>
      </c>
      <c r="P33">
        <v>19.260000000000002</v>
      </c>
      <c r="Q33">
        <v>288380576</v>
      </c>
      <c r="R33">
        <v>0.78</v>
      </c>
      <c r="S33" t="s">
        <v>92</v>
      </c>
      <c r="T33" t="s">
        <v>30</v>
      </c>
      <c r="U33">
        <v>1.5</v>
      </c>
      <c r="V33">
        <v>3.36</v>
      </c>
      <c r="W33">
        <v>447763</v>
      </c>
      <c r="X33">
        <v>410605</v>
      </c>
      <c r="Y33">
        <v>1.0900000000000001</v>
      </c>
      <c r="Z33">
        <v>8782</v>
      </c>
      <c r="AA33">
        <v>40381</v>
      </c>
      <c r="AB33" t="s">
        <v>31</v>
      </c>
    </row>
    <row r="34" spans="1:28">
      <c r="A34" t="str">
        <f>"600051"</f>
        <v>600051</v>
      </c>
      <c r="B34" t="s">
        <v>93</v>
      </c>
      <c r="C34">
        <v>0</v>
      </c>
      <c r="D34">
        <v>6.71</v>
      </c>
      <c r="E34">
        <v>0</v>
      </c>
      <c r="F34" t="s">
        <v>31</v>
      </c>
      <c r="G34" t="s">
        <v>31</v>
      </c>
      <c r="H34">
        <v>0</v>
      </c>
      <c r="I34">
        <v>0</v>
      </c>
      <c r="J34">
        <v>0</v>
      </c>
      <c r="K34">
        <v>0</v>
      </c>
      <c r="L34" t="s">
        <v>31</v>
      </c>
      <c r="M34" t="s">
        <v>31</v>
      </c>
      <c r="N34" t="s">
        <v>31</v>
      </c>
      <c r="O34">
        <v>6.71</v>
      </c>
      <c r="P34">
        <v>408.95</v>
      </c>
      <c r="Q34">
        <v>0</v>
      </c>
      <c r="R34">
        <v>0</v>
      </c>
      <c r="S34" t="s">
        <v>94</v>
      </c>
      <c r="T34" t="s">
        <v>95</v>
      </c>
      <c r="U34">
        <v>0</v>
      </c>
      <c r="V34">
        <v>6.71</v>
      </c>
      <c r="W34">
        <v>0</v>
      </c>
      <c r="X34">
        <v>0</v>
      </c>
      <c r="Y34" t="s">
        <v>31</v>
      </c>
      <c r="Z34">
        <v>0</v>
      </c>
      <c r="AA34">
        <v>0</v>
      </c>
      <c r="AB34" t="s">
        <v>31</v>
      </c>
    </row>
    <row r="35" spans="1:28">
      <c r="A35" t="str">
        <f>"600052"</f>
        <v>600052</v>
      </c>
      <c r="B35" t="s">
        <v>96</v>
      </c>
      <c r="C35">
        <v>6.38</v>
      </c>
      <c r="D35">
        <v>3.5</v>
      </c>
      <c r="E35">
        <v>0.21</v>
      </c>
      <c r="F35">
        <v>3.49</v>
      </c>
      <c r="G35">
        <v>3.5</v>
      </c>
      <c r="H35">
        <v>71268</v>
      </c>
      <c r="I35">
        <v>5</v>
      </c>
      <c r="J35">
        <v>0</v>
      </c>
      <c r="K35">
        <v>0.82</v>
      </c>
      <c r="L35">
        <v>3.3</v>
      </c>
      <c r="M35">
        <v>3.57</v>
      </c>
      <c r="N35">
        <v>3.28</v>
      </c>
      <c r="O35">
        <v>3.29</v>
      </c>
      <c r="P35">
        <v>1967.71</v>
      </c>
      <c r="Q35">
        <v>24645658</v>
      </c>
      <c r="R35">
        <v>2.63</v>
      </c>
      <c r="S35" t="s">
        <v>97</v>
      </c>
      <c r="T35" t="s">
        <v>95</v>
      </c>
      <c r="U35">
        <v>8.81</v>
      </c>
      <c r="V35">
        <v>3.46</v>
      </c>
      <c r="W35">
        <v>33867</v>
      </c>
      <c r="X35">
        <v>37401</v>
      </c>
      <c r="Y35">
        <v>0.91</v>
      </c>
      <c r="Z35">
        <v>456</v>
      </c>
      <c r="AA35">
        <v>131</v>
      </c>
      <c r="AB35" t="s">
        <v>31</v>
      </c>
    </row>
    <row r="36" spans="1:28">
      <c r="A36" t="str">
        <f>"600053"</f>
        <v>600053</v>
      </c>
      <c r="B36" t="s">
        <v>98</v>
      </c>
      <c r="C36">
        <v>2.58</v>
      </c>
      <c r="D36">
        <v>6.76</v>
      </c>
      <c r="E36">
        <v>0.17</v>
      </c>
      <c r="F36">
        <v>6.76</v>
      </c>
      <c r="G36">
        <v>6.77</v>
      </c>
      <c r="H36">
        <v>9067</v>
      </c>
      <c r="I36">
        <v>15</v>
      </c>
      <c r="J36">
        <v>0.14000000000000001</v>
      </c>
      <c r="K36">
        <v>0.21</v>
      </c>
      <c r="L36">
        <v>6.56</v>
      </c>
      <c r="M36">
        <v>6.77</v>
      </c>
      <c r="N36">
        <v>6.5</v>
      </c>
      <c r="O36">
        <v>6.59</v>
      </c>
      <c r="P36">
        <v>229.68</v>
      </c>
      <c r="Q36">
        <v>6041477</v>
      </c>
      <c r="R36">
        <v>0.77</v>
      </c>
      <c r="S36" t="s">
        <v>97</v>
      </c>
      <c r="T36" t="s">
        <v>99</v>
      </c>
      <c r="U36">
        <v>4.0999999999999996</v>
      </c>
      <c r="V36">
        <v>6.66</v>
      </c>
      <c r="W36">
        <v>2736</v>
      </c>
      <c r="X36">
        <v>6331</v>
      </c>
      <c r="Y36">
        <v>0.43</v>
      </c>
      <c r="Z36">
        <v>5</v>
      </c>
      <c r="AA36">
        <v>85</v>
      </c>
      <c r="AB36" t="s">
        <v>31</v>
      </c>
    </row>
    <row r="37" spans="1:28">
      <c r="A37" t="str">
        <f>"600054"</f>
        <v>600054</v>
      </c>
      <c r="B37" t="s">
        <v>100</v>
      </c>
      <c r="C37">
        <v>0.49</v>
      </c>
      <c r="D37">
        <v>10.19</v>
      </c>
      <c r="E37">
        <v>0.05</v>
      </c>
      <c r="F37">
        <v>10.19</v>
      </c>
      <c r="G37">
        <v>10.199999999999999</v>
      </c>
      <c r="H37">
        <v>10045</v>
      </c>
      <c r="I37">
        <v>10</v>
      </c>
      <c r="J37">
        <v>0.19</v>
      </c>
      <c r="K37">
        <v>0.85</v>
      </c>
      <c r="L37">
        <v>10.1</v>
      </c>
      <c r="M37">
        <v>10.210000000000001</v>
      </c>
      <c r="N37">
        <v>10.050000000000001</v>
      </c>
      <c r="O37">
        <v>10.14</v>
      </c>
      <c r="P37">
        <v>23.62</v>
      </c>
      <c r="Q37">
        <v>10197191</v>
      </c>
      <c r="R37">
        <v>0.79</v>
      </c>
      <c r="S37" t="s">
        <v>101</v>
      </c>
      <c r="T37" t="s">
        <v>52</v>
      </c>
      <c r="U37">
        <v>1.58</v>
      </c>
      <c r="V37">
        <v>10.15</v>
      </c>
      <c r="W37">
        <v>5686</v>
      </c>
      <c r="X37">
        <v>4359</v>
      </c>
      <c r="Y37">
        <v>1.3</v>
      </c>
      <c r="Z37">
        <v>7</v>
      </c>
      <c r="AA37">
        <v>17</v>
      </c>
      <c r="AB37" t="s">
        <v>31</v>
      </c>
    </row>
    <row r="38" spans="1:28">
      <c r="A38" t="str">
        <f>"600055"</f>
        <v>600055</v>
      </c>
      <c r="B38" t="s">
        <v>102</v>
      </c>
      <c r="C38">
        <v>-0.73</v>
      </c>
      <c r="D38">
        <v>10.93</v>
      </c>
      <c r="E38">
        <v>-0.08</v>
      </c>
      <c r="F38">
        <v>10.93</v>
      </c>
      <c r="G38">
        <v>10.94</v>
      </c>
      <c r="H38">
        <v>19290</v>
      </c>
      <c r="I38">
        <v>12</v>
      </c>
      <c r="J38">
        <v>0.18</v>
      </c>
      <c r="K38">
        <v>0.89</v>
      </c>
      <c r="L38">
        <v>10.98</v>
      </c>
      <c r="M38">
        <v>11</v>
      </c>
      <c r="N38">
        <v>10.71</v>
      </c>
      <c r="O38">
        <v>11.01</v>
      </c>
      <c r="P38">
        <v>95.84</v>
      </c>
      <c r="Q38">
        <v>20939368</v>
      </c>
      <c r="R38">
        <v>1.07</v>
      </c>
      <c r="S38" t="s">
        <v>103</v>
      </c>
      <c r="T38" t="s">
        <v>42</v>
      </c>
      <c r="U38">
        <v>2.63</v>
      </c>
      <c r="V38">
        <v>10.85</v>
      </c>
      <c r="W38">
        <v>10217</v>
      </c>
      <c r="X38">
        <v>9073</v>
      </c>
      <c r="Y38">
        <v>1.1299999999999999</v>
      </c>
      <c r="Z38">
        <v>49</v>
      </c>
      <c r="AA38">
        <v>9</v>
      </c>
      <c r="AB38" t="s">
        <v>31</v>
      </c>
    </row>
    <row r="39" spans="1:28">
      <c r="A39" t="str">
        <f>"600056"</f>
        <v>600056</v>
      </c>
      <c r="B39" t="s">
        <v>104</v>
      </c>
      <c r="C39">
        <v>1.33</v>
      </c>
      <c r="D39">
        <v>20.59</v>
      </c>
      <c r="E39">
        <v>0.27</v>
      </c>
      <c r="F39">
        <v>20.57</v>
      </c>
      <c r="G39">
        <v>20.59</v>
      </c>
      <c r="H39">
        <v>25214</v>
      </c>
      <c r="I39">
        <v>30</v>
      </c>
      <c r="J39">
        <v>0.04</v>
      </c>
      <c r="K39">
        <v>0.56999999999999995</v>
      </c>
      <c r="L39">
        <v>20.3</v>
      </c>
      <c r="M39">
        <v>20.67</v>
      </c>
      <c r="N39">
        <v>20.12</v>
      </c>
      <c r="O39">
        <v>20.32</v>
      </c>
      <c r="P39">
        <v>17.920000000000002</v>
      </c>
      <c r="Q39">
        <v>51512732</v>
      </c>
      <c r="R39">
        <v>0.55000000000000004</v>
      </c>
      <c r="S39" t="s">
        <v>105</v>
      </c>
      <c r="T39" t="s">
        <v>42</v>
      </c>
      <c r="U39">
        <v>2.71</v>
      </c>
      <c r="V39">
        <v>20.43</v>
      </c>
      <c r="W39">
        <v>12750</v>
      </c>
      <c r="X39">
        <v>12464</v>
      </c>
      <c r="Y39">
        <v>1.02</v>
      </c>
      <c r="Z39">
        <v>0</v>
      </c>
      <c r="AA39">
        <v>22</v>
      </c>
      <c r="AB39" t="s">
        <v>31</v>
      </c>
    </row>
    <row r="40" spans="1:28">
      <c r="A40" t="str">
        <f>"600057"</f>
        <v>600057</v>
      </c>
      <c r="B40" t="s">
        <v>106</v>
      </c>
      <c r="C40">
        <v>3.31</v>
      </c>
      <c r="D40">
        <v>5</v>
      </c>
      <c r="E40">
        <v>0.16</v>
      </c>
      <c r="F40">
        <v>5</v>
      </c>
      <c r="G40">
        <v>5.01</v>
      </c>
      <c r="H40">
        <v>115507</v>
      </c>
      <c r="I40">
        <v>30</v>
      </c>
      <c r="J40">
        <v>0.2</v>
      </c>
      <c r="K40">
        <v>2.69</v>
      </c>
      <c r="L40">
        <v>4.8</v>
      </c>
      <c r="M40">
        <v>5.08</v>
      </c>
      <c r="N40">
        <v>4.66</v>
      </c>
      <c r="O40">
        <v>4.84</v>
      </c>
      <c r="P40" t="s">
        <v>31</v>
      </c>
      <c r="Q40">
        <v>56463688</v>
      </c>
      <c r="R40">
        <v>1.19</v>
      </c>
      <c r="S40" t="s">
        <v>107</v>
      </c>
      <c r="T40" t="s">
        <v>78</v>
      </c>
      <c r="U40">
        <v>8.68</v>
      </c>
      <c r="V40">
        <v>4.8899999999999997</v>
      </c>
      <c r="W40">
        <v>56429</v>
      </c>
      <c r="X40">
        <v>59078</v>
      </c>
      <c r="Y40">
        <v>0.96</v>
      </c>
      <c r="Z40">
        <v>506</v>
      </c>
      <c r="AA40">
        <v>479</v>
      </c>
      <c r="AB40" t="s">
        <v>31</v>
      </c>
    </row>
    <row r="41" spans="1:28">
      <c r="A41" t="str">
        <f>"600058"</f>
        <v>600058</v>
      </c>
      <c r="B41" t="s">
        <v>108</v>
      </c>
      <c r="C41">
        <v>0</v>
      </c>
      <c r="D41">
        <v>13.56</v>
      </c>
      <c r="E41">
        <v>0</v>
      </c>
      <c r="F41" t="s">
        <v>31</v>
      </c>
      <c r="G41" t="s">
        <v>31</v>
      </c>
      <c r="H41">
        <v>0</v>
      </c>
      <c r="I41">
        <v>0</v>
      </c>
      <c r="J41">
        <v>0</v>
      </c>
      <c r="K41">
        <v>0</v>
      </c>
      <c r="L41" t="s">
        <v>31</v>
      </c>
      <c r="M41" t="s">
        <v>31</v>
      </c>
      <c r="N41" t="s">
        <v>31</v>
      </c>
      <c r="O41">
        <v>13.56</v>
      </c>
      <c r="P41">
        <v>38.08</v>
      </c>
      <c r="Q41">
        <v>0</v>
      </c>
      <c r="R41">
        <v>0</v>
      </c>
      <c r="S41" t="s">
        <v>109</v>
      </c>
      <c r="T41" t="s">
        <v>42</v>
      </c>
      <c r="U41">
        <v>0</v>
      </c>
      <c r="V41">
        <v>13.56</v>
      </c>
      <c r="W41">
        <v>0</v>
      </c>
      <c r="X41">
        <v>0</v>
      </c>
      <c r="Y41" t="s">
        <v>31</v>
      </c>
      <c r="Z41">
        <v>0</v>
      </c>
      <c r="AA41">
        <v>0</v>
      </c>
      <c r="AB41" t="s">
        <v>31</v>
      </c>
    </row>
    <row r="42" spans="1:28">
      <c r="A42" t="str">
        <f>"600059"</f>
        <v>600059</v>
      </c>
      <c r="B42" t="s">
        <v>110</v>
      </c>
      <c r="C42">
        <v>0.67</v>
      </c>
      <c r="D42">
        <v>10.45</v>
      </c>
      <c r="E42">
        <v>7.0000000000000007E-2</v>
      </c>
      <c r="F42">
        <v>10.45</v>
      </c>
      <c r="G42">
        <v>10.46</v>
      </c>
      <c r="H42">
        <v>42290</v>
      </c>
      <c r="I42">
        <v>93</v>
      </c>
      <c r="J42">
        <v>0</v>
      </c>
      <c r="K42">
        <v>0.67</v>
      </c>
      <c r="L42">
        <v>10.31</v>
      </c>
      <c r="M42">
        <v>10.56</v>
      </c>
      <c r="N42">
        <v>10.28</v>
      </c>
      <c r="O42">
        <v>10.38</v>
      </c>
      <c r="P42">
        <v>42.16</v>
      </c>
      <c r="Q42">
        <v>44105600</v>
      </c>
      <c r="R42">
        <v>0.48</v>
      </c>
      <c r="S42" t="s">
        <v>111</v>
      </c>
      <c r="T42" t="s">
        <v>95</v>
      </c>
      <c r="U42">
        <v>2.7</v>
      </c>
      <c r="V42">
        <v>10.43</v>
      </c>
      <c r="W42">
        <v>22300</v>
      </c>
      <c r="X42">
        <v>19990</v>
      </c>
      <c r="Y42">
        <v>1.1200000000000001</v>
      </c>
      <c r="Z42">
        <v>424</v>
      </c>
      <c r="AA42">
        <v>205</v>
      </c>
      <c r="AB42" t="s">
        <v>31</v>
      </c>
    </row>
    <row r="43" spans="1:28">
      <c r="A43" t="str">
        <f>"600060"</f>
        <v>600060</v>
      </c>
      <c r="B43" t="s">
        <v>112</v>
      </c>
      <c r="C43">
        <v>1.97</v>
      </c>
      <c r="D43">
        <v>11.39</v>
      </c>
      <c r="E43">
        <v>0.22</v>
      </c>
      <c r="F43">
        <v>11.38</v>
      </c>
      <c r="G43">
        <v>11.39</v>
      </c>
      <c r="H43">
        <v>247518</v>
      </c>
      <c r="I43">
        <v>12</v>
      </c>
      <c r="J43">
        <v>0.08</v>
      </c>
      <c r="K43">
        <v>1.89</v>
      </c>
      <c r="L43">
        <v>11.08</v>
      </c>
      <c r="M43">
        <v>11.48</v>
      </c>
      <c r="N43">
        <v>11.03</v>
      </c>
      <c r="O43">
        <v>11.17</v>
      </c>
      <c r="P43">
        <v>9.9</v>
      </c>
      <c r="Q43">
        <v>278711808</v>
      </c>
      <c r="R43">
        <v>1.01</v>
      </c>
      <c r="S43" t="s">
        <v>113</v>
      </c>
      <c r="T43" t="s">
        <v>57</v>
      </c>
      <c r="U43">
        <v>4.03</v>
      </c>
      <c r="V43">
        <v>11.26</v>
      </c>
      <c r="W43">
        <v>124870</v>
      </c>
      <c r="X43">
        <v>122648</v>
      </c>
      <c r="Y43">
        <v>1.02</v>
      </c>
      <c r="Z43">
        <v>102</v>
      </c>
      <c r="AA43">
        <v>30</v>
      </c>
      <c r="AB43" t="s">
        <v>31</v>
      </c>
    </row>
    <row r="44" spans="1:28">
      <c r="A44" t="str">
        <f>"600061"</f>
        <v>600061</v>
      </c>
      <c r="B44" t="s">
        <v>114</v>
      </c>
      <c r="C44">
        <v>0.18</v>
      </c>
      <c r="D44">
        <v>5.5</v>
      </c>
      <c r="E44">
        <v>0.01</v>
      </c>
      <c r="F44">
        <v>5.49</v>
      </c>
      <c r="G44">
        <v>5.5</v>
      </c>
      <c r="H44">
        <v>59620</v>
      </c>
      <c r="I44">
        <v>16</v>
      </c>
      <c r="J44">
        <v>0.18</v>
      </c>
      <c r="K44">
        <v>1.39</v>
      </c>
      <c r="L44">
        <v>5.52</v>
      </c>
      <c r="M44">
        <v>5.62</v>
      </c>
      <c r="N44">
        <v>5.45</v>
      </c>
      <c r="O44">
        <v>5.49</v>
      </c>
      <c r="P44">
        <v>268.67</v>
      </c>
      <c r="Q44">
        <v>32886824</v>
      </c>
      <c r="R44">
        <v>1.36</v>
      </c>
      <c r="S44" t="s">
        <v>115</v>
      </c>
      <c r="T44" t="s">
        <v>30</v>
      </c>
      <c r="U44">
        <v>3.1</v>
      </c>
      <c r="V44">
        <v>5.52</v>
      </c>
      <c r="W44">
        <v>24841</v>
      </c>
      <c r="X44">
        <v>34779</v>
      </c>
      <c r="Y44">
        <v>0.71</v>
      </c>
      <c r="Z44">
        <v>521</v>
      </c>
      <c r="AA44">
        <v>396</v>
      </c>
      <c r="AB44" t="s">
        <v>31</v>
      </c>
    </row>
    <row r="45" spans="1:28">
      <c r="A45" t="str">
        <f>"600062"</f>
        <v>600062</v>
      </c>
      <c r="B45" t="s">
        <v>116</v>
      </c>
      <c r="C45">
        <v>0.7</v>
      </c>
      <c r="D45">
        <v>20.12</v>
      </c>
      <c r="E45">
        <v>0.14000000000000001</v>
      </c>
      <c r="F45">
        <v>20.12</v>
      </c>
      <c r="G45">
        <v>20.13</v>
      </c>
      <c r="H45">
        <v>31917</v>
      </c>
      <c r="I45">
        <v>3</v>
      </c>
      <c r="J45">
        <v>-0.04</v>
      </c>
      <c r="K45">
        <v>0.56000000000000005</v>
      </c>
      <c r="L45">
        <v>19.87</v>
      </c>
      <c r="M45">
        <v>20.239999999999998</v>
      </c>
      <c r="N45">
        <v>19.809999999999999</v>
      </c>
      <c r="O45">
        <v>19.98</v>
      </c>
      <c r="P45">
        <v>16.46</v>
      </c>
      <c r="Q45">
        <v>64077392</v>
      </c>
      <c r="R45">
        <v>0.67</v>
      </c>
      <c r="S45" t="s">
        <v>117</v>
      </c>
      <c r="T45" t="s">
        <v>42</v>
      </c>
      <c r="U45">
        <v>2.15</v>
      </c>
      <c r="V45">
        <v>20.079999999999998</v>
      </c>
      <c r="W45">
        <v>17416</v>
      </c>
      <c r="X45">
        <v>14501</v>
      </c>
      <c r="Y45">
        <v>1.2</v>
      </c>
      <c r="Z45">
        <v>57</v>
      </c>
      <c r="AA45">
        <v>32</v>
      </c>
      <c r="AB45" t="s">
        <v>31</v>
      </c>
    </row>
    <row r="46" spans="1:28">
      <c r="A46" t="str">
        <f>"600063"</f>
        <v>600063</v>
      </c>
      <c r="B46" t="s">
        <v>118</v>
      </c>
      <c r="C46">
        <v>1.42</v>
      </c>
      <c r="D46">
        <v>2.14</v>
      </c>
      <c r="E46">
        <v>0.03</v>
      </c>
      <c r="F46">
        <v>2.13</v>
      </c>
      <c r="G46">
        <v>2.14</v>
      </c>
      <c r="H46">
        <v>83727</v>
      </c>
      <c r="I46">
        <v>20</v>
      </c>
      <c r="J46">
        <v>0.46</v>
      </c>
      <c r="K46">
        <v>0.56000000000000005</v>
      </c>
      <c r="L46">
        <v>2.09</v>
      </c>
      <c r="M46">
        <v>2.14</v>
      </c>
      <c r="N46">
        <v>2.08</v>
      </c>
      <c r="O46">
        <v>2.11</v>
      </c>
      <c r="P46" t="s">
        <v>31</v>
      </c>
      <c r="Q46">
        <v>17766452</v>
      </c>
      <c r="R46">
        <v>0.51</v>
      </c>
      <c r="S46" t="s">
        <v>115</v>
      </c>
      <c r="T46" t="s">
        <v>52</v>
      </c>
      <c r="U46">
        <v>2.84</v>
      </c>
      <c r="V46">
        <v>2.12</v>
      </c>
      <c r="W46">
        <v>37110</v>
      </c>
      <c r="X46">
        <v>46617</v>
      </c>
      <c r="Y46">
        <v>0.8</v>
      </c>
      <c r="Z46">
        <v>3538</v>
      </c>
      <c r="AA46">
        <v>8735</v>
      </c>
      <c r="AB46" t="s">
        <v>31</v>
      </c>
    </row>
    <row r="47" spans="1:28">
      <c r="A47" t="str">
        <f>"600064"</f>
        <v>600064</v>
      </c>
      <c r="B47" t="s">
        <v>119</v>
      </c>
      <c r="C47">
        <v>0.09</v>
      </c>
      <c r="D47">
        <v>11.04</v>
      </c>
      <c r="E47">
        <v>0.01</v>
      </c>
      <c r="F47">
        <v>11.04</v>
      </c>
      <c r="G47">
        <v>11.05</v>
      </c>
      <c r="H47">
        <v>27065</v>
      </c>
      <c r="I47">
        <v>20</v>
      </c>
      <c r="J47">
        <v>0</v>
      </c>
      <c r="K47">
        <v>0.52</v>
      </c>
      <c r="L47">
        <v>11.04</v>
      </c>
      <c r="M47">
        <v>11.08</v>
      </c>
      <c r="N47">
        <v>10.89</v>
      </c>
      <c r="O47">
        <v>11.03</v>
      </c>
      <c r="P47">
        <v>14.78</v>
      </c>
      <c r="Q47">
        <v>29749486</v>
      </c>
      <c r="R47">
        <v>0.79</v>
      </c>
      <c r="S47" t="s">
        <v>41</v>
      </c>
      <c r="T47" t="s">
        <v>120</v>
      </c>
      <c r="U47">
        <v>1.72</v>
      </c>
      <c r="V47">
        <v>10.99</v>
      </c>
      <c r="W47">
        <v>14927</v>
      </c>
      <c r="X47">
        <v>12138</v>
      </c>
      <c r="Y47">
        <v>1.23</v>
      </c>
      <c r="Z47">
        <v>110</v>
      </c>
      <c r="AA47">
        <v>313</v>
      </c>
      <c r="AB47" t="s">
        <v>31</v>
      </c>
    </row>
    <row r="48" spans="1:28">
      <c r="A48" t="str">
        <f>"600066"</f>
        <v>600066</v>
      </c>
      <c r="B48" t="s">
        <v>121</v>
      </c>
      <c r="C48">
        <v>0.49</v>
      </c>
      <c r="D48">
        <v>16.32</v>
      </c>
      <c r="E48">
        <v>0.08</v>
      </c>
      <c r="F48">
        <v>16.350000000000001</v>
      </c>
      <c r="G48">
        <v>16.36</v>
      </c>
      <c r="H48">
        <v>100460</v>
      </c>
      <c r="I48">
        <v>15</v>
      </c>
      <c r="J48">
        <v>0.92</v>
      </c>
      <c r="K48">
        <v>0.82</v>
      </c>
      <c r="L48">
        <v>16.07</v>
      </c>
      <c r="M48">
        <v>16.350000000000001</v>
      </c>
      <c r="N48">
        <v>15.8</v>
      </c>
      <c r="O48">
        <v>16.239999999999998</v>
      </c>
      <c r="P48">
        <v>17.260000000000002</v>
      </c>
      <c r="Q48">
        <v>162357152</v>
      </c>
      <c r="R48">
        <v>0.71</v>
      </c>
      <c r="S48" t="s">
        <v>39</v>
      </c>
      <c r="T48" t="s">
        <v>61</v>
      </c>
      <c r="U48">
        <v>3.39</v>
      </c>
      <c r="V48">
        <v>16.16</v>
      </c>
      <c r="W48">
        <v>50714</v>
      </c>
      <c r="X48">
        <v>49746</v>
      </c>
      <c r="Y48">
        <v>1.02</v>
      </c>
      <c r="Z48">
        <v>206</v>
      </c>
      <c r="AA48">
        <v>159</v>
      </c>
      <c r="AB48" t="s">
        <v>31</v>
      </c>
    </row>
    <row r="49" spans="1:28">
      <c r="A49" t="str">
        <f>"600067"</f>
        <v>600067</v>
      </c>
      <c r="B49" t="s">
        <v>122</v>
      </c>
      <c r="C49">
        <v>1.41</v>
      </c>
      <c r="D49">
        <v>7.19</v>
      </c>
      <c r="E49">
        <v>0.1</v>
      </c>
      <c r="F49">
        <v>7.18</v>
      </c>
      <c r="G49">
        <v>7.19</v>
      </c>
      <c r="H49">
        <v>119275</v>
      </c>
      <c r="I49">
        <v>8</v>
      </c>
      <c r="J49">
        <v>0.13</v>
      </c>
      <c r="K49">
        <v>1</v>
      </c>
      <c r="L49">
        <v>7.11</v>
      </c>
      <c r="M49">
        <v>7.2</v>
      </c>
      <c r="N49">
        <v>7.05</v>
      </c>
      <c r="O49">
        <v>7.09</v>
      </c>
      <c r="P49">
        <v>4.92</v>
      </c>
      <c r="Q49">
        <v>85032480</v>
      </c>
      <c r="R49">
        <v>0.78</v>
      </c>
      <c r="S49" t="s">
        <v>90</v>
      </c>
      <c r="T49" t="s">
        <v>78</v>
      </c>
      <c r="U49">
        <v>2.12</v>
      </c>
      <c r="V49">
        <v>7.13</v>
      </c>
      <c r="W49">
        <v>48203</v>
      </c>
      <c r="X49">
        <v>71072</v>
      </c>
      <c r="Y49">
        <v>0.68</v>
      </c>
      <c r="Z49">
        <v>652</v>
      </c>
      <c r="AA49">
        <v>100</v>
      </c>
      <c r="AB49" t="s">
        <v>31</v>
      </c>
    </row>
    <row r="50" spans="1:28">
      <c r="A50" t="str">
        <f>"600068"</f>
        <v>600068</v>
      </c>
      <c r="B50" t="s">
        <v>123</v>
      </c>
      <c r="C50">
        <v>2.44</v>
      </c>
      <c r="D50">
        <v>4.1900000000000004</v>
      </c>
      <c r="E50">
        <v>0.1</v>
      </c>
      <c r="F50">
        <v>4.18</v>
      </c>
      <c r="G50">
        <v>4.1900000000000004</v>
      </c>
      <c r="H50">
        <v>144834</v>
      </c>
      <c r="I50">
        <v>124</v>
      </c>
      <c r="J50">
        <v>0</v>
      </c>
      <c r="K50">
        <v>0.42</v>
      </c>
      <c r="L50">
        <v>4.1100000000000003</v>
      </c>
      <c r="M50">
        <v>4.1900000000000004</v>
      </c>
      <c r="N50">
        <v>4.0999999999999996</v>
      </c>
      <c r="O50">
        <v>4.09</v>
      </c>
      <c r="P50">
        <v>8.6199999999999992</v>
      </c>
      <c r="Q50">
        <v>60240080</v>
      </c>
      <c r="R50">
        <v>0.88</v>
      </c>
      <c r="S50" t="s">
        <v>87</v>
      </c>
      <c r="T50" t="s">
        <v>37</v>
      </c>
      <c r="U50">
        <v>2.2000000000000002</v>
      </c>
      <c r="V50">
        <v>4.16</v>
      </c>
      <c r="W50">
        <v>73503</v>
      </c>
      <c r="X50">
        <v>71331</v>
      </c>
      <c r="Y50">
        <v>1.03</v>
      </c>
      <c r="Z50">
        <v>203</v>
      </c>
      <c r="AA50">
        <v>703</v>
      </c>
      <c r="AB50" t="s">
        <v>31</v>
      </c>
    </row>
    <row r="51" spans="1:28">
      <c r="A51" t="str">
        <f>"600069"</f>
        <v>600069</v>
      </c>
      <c r="B51" t="s">
        <v>124</v>
      </c>
      <c r="C51">
        <v>0.72</v>
      </c>
      <c r="D51">
        <v>4.2</v>
      </c>
      <c r="E51">
        <v>0.03</v>
      </c>
      <c r="F51">
        <v>4.2</v>
      </c>
      <c r="G51">
        <v>4.21</v>
      </c>
      <c r="H51">
        <v>21561</v>
      </c>
      <c r="I51">
        <v>213</v>
      </c>
      <c r="J51">
        <v>-0.23</v>
      </c>
      <c r="K51">
        <v>0.26</v>
      </c>
      <c r="L51">
        <v>4.1900000000000004</v>
      </c>
      <c r="M51">
        <v>4.21</v>
      </c>
      <c r="N51">
        <v>4.1399999999999997</v>
      </c>
      <c r="O51">
        <v>4.17</v>
      </c>
      <c r="P51" t="s">
        <v>31</v>
      </c>
      <c r="Q51">
        <v>9025148</v>
      </c>
      <c r="R51">
        <v>0.5</v>
      </c>
      <c r="S51" t="s">
        <v>125</v>
      </c>
      <c r="T51" t="s">
        <v>61</v>
      </c>
      <c r="U51">
        <v>1.68</v>
      </c>
      <c r="V51">
        <v>4.1900000000000004</v>
      </c>
      <c r="W51">
        <v>11510</v>
      </c>
      <c r="X51">
        <v>10051</v>
      </c>
      <c r="Y51">
        <v>1.1499999999999999</v>
      </c>
      <c r="Z51">
        <v>351</v>
      </c>
      <c r="AA51">
        <v>499</v>
      </c>
      <c r="AB51" t="s">
        <v>31</v>
      </c>
    </row>
    <row r="52" spans="1:28">
      <c r="A52" t="str">
        <f>"600070"</f>
        <v>600070</v>
      </c>
      <c r="B52" t="s">
        <v>126</v>
      </c>
      <c r="C52">
        <v>1.53</v>
      </c>
      <c r="D52">
        <v>7.97</v>
      </c>
      <c r="E52">
        <v>0.12</v>
      </c>
      <c r="F52">
        <v>7.97</v>
      </c>
      <c r="G52">
        <v>7.98</v>
      </c>
      <c r="H52">
        <v>14774</v>
      </c>
      <c r="I52">
        <v>160</v>
      </c>
      <c r="J52">
        <v>0.12</v>
      </c>
      <c r="K52">
        <v>0.81</v>
      </c>
      <c r="L52">
        <v>7.95</v>
      </c>
      <c r="M52">
        <v>8.02</v>
      </c>
      <c r="N52">
        <v>7.88</v>
      </c>
      <c r="O52">
        <v>7.85</v>
      </c>
      <c r="P52">
        <v>30.04</v>
      </c>
      <c r="Q52">
        <v>11735691</v>
      </c>
      <c r="R52">
        <v>0.62</v>
      </c>
      <c r="S52" t="s">
        <v>127</v>
      </c>
      <c r="T52" t="s">
        <v>95</v>
      </c>
      <c r="U52">
        <v>1.78</v>
      </c>
      <c r="V52">
        <v>7.94</v>
      </c>
      <c r="W52">
        <v>7904</v>
      </c>
      <c r="X52">
        <v>6870</v>
      </c>
      <c r="Y52">
        <v>1.1499999999999999</v>
      </c>
      <c r="Z52">
        <v>6</v>
      </c>
      <c r="AA52">
        <v>113</v>
      </c>
      <c r="AB52" t="s">
        <v>31</v>
      </c>
    </row>
    <row r="53" spans="1:28">
      <c r="A53" t="str">
        <f>"600071"</f>
        <v>600071</v>
      </c>
      <c r="B53" t="s">
        <v>128</v>
      </c>
      <c r="C53">
        <v>0.67</v>
      </c>
      <c r="D53">
        <v>6.05</v>
      </c>
      <c r="E53">
        <v>0.04</v>
      </c>
      <c r="F53">
        <v>6.05</v>
      </c>
      <c r="G53">
        <v>6.06</v>
      </c>
      <c r="H53">
        <v>15370</v>
      </c>
      <c r="I53">
        <v>2</v>
      </c>
      <c r="J53">
        <v>0</v>
      </c>
      <c r="K53">
        <v>0.65</v>
      </c>
      <c r="L53">
        <v>6.01</v>
      </c>
      <c r="M53">
        <v>6.09</v>
      </c>
      <c r="N53">
        <v>5.85</v>
      </c>
      <c r="O53">
        <v>6.01</v>
      </c>
      <c r="P53" t="s">
        <v>31</v>
      </c>
      <c r="Q53">
        <v>9207732</v>
      </c>
      <c r="R53">
        <v>0.74</v>
      </c>
      <c r="S53" t="s">
        <v>129</v>
      </c>
      <c r="T53" t="s">
        <v>99</v>
      </c>
      <c r="U53">
        <v>3.99</v>
      </c>
      <c r="V53">
        <v>5.99</v>
      </c>
      <c r="W53">
        <v>8650</v>
      </c>
      <c r="X53">
        <v>6720</v>
      </c>
      <c r="Y53">
        <v>1.29</v>
      </c>
      <c r="Z53">
        <v>152</v>
      </c>
      <c r="AA53">
        <v>55</v>
      </c>
      <c r="AB53" t="s">
        <v>31</v>
      </c>
    </row>
    <row r="54" spans="1:28">
      <c r="A54" t="str">
        <f>"600072"</f>
        <v>600072</v>
      </c>
      <c r="B54" t="s">
        <v>130</v>
      </c>
      <c r="C54">
        <v>3.23</v>
      </c>
      <c r="D54">
        <v>11.17</v>
      </c>
      <c r="E54">
        <v>0.35</v>
      </c>
      <c r="F54">
        <v>11.17</v>
      </c>
      <c r="G54">
        <v>11.18</v>
      </c>
      <c r="H54">
        <v>42053</v>
      </c>
      <c r="I54">
        <v>66</v>
      </c>
      <c r="J54">
        <v>-0.08</v>
      </c>
      <c r="K54">
        <v>0.88</v>
      </c>
      <c r="L54">
        <v>10.78</v>
      </c>
      <c r="M54">
        <v>11.25</v>
      </c>
      <c r="N54">
        <v>10.67</v>
      </c>
      <c r="O54">
        <v>10.82</v>
      </c>
      <c r="P54" t="s">
        <v>31</v>
      </c>
      <c r="Q54">
        <v>46273916</v>
      </c>
      <c r="R54">
        <v>0.99</v>
      </c>
      <c r="S54" t="s">
        <v>131</v>
      </c>
      <c r="T54" t="s">
        <v>30</v>
      </c>
      <c r="U54">
        <v>5.36</v>
      </c>
      <c r="V54">
        <v>11</v>
      </c>
      <c r="W54">
        <v>19289</v>
      </c>
      <c r="X54">
        <v>22764</v>
      </c>
      <c r="Y54">
        <v>0.85</v>
      </c>
      <c r="Z54">
        <v>129</v>
      </c>
      <c r="AA54">
        <v>343</v>
      </c>
      <c r="AB54" t="s">
        <v>31</v>
      </c>
    </row>
    <row r="55" spans="1:28">
      <c r="A55" t="str">
        <f>"600073"</f>
        <v>600073</v>
      </c>
      <c r="B55" t="s">
        <v>132</v>
      </c>
      <c r="C55">
        <v>4.95</v>
      </c>
      <c r="D55">
        <v>9.9600000000000009</v>
      </c>
      <c r="E55">
        <v>0.47</v>
      </c>
      <c r="F55">
        <v>9.9499999999999993</v>
      </c>
      <c r="G55">
        <v>9.9600000000000009</v>
      </c>
      <c r="H55">
        <v>123939</v>
      </c>
      <c r="I55">
        <v>100</v>
      </c>
      <c r="J55">
        <v>0.2</v>
      </c>
      <c r="K55">
        <v>1.6</v>
      </c>
      <c r="L55">
        <v>9.39</v>
      </c>
      <c r="M55">
        <v>10.18</v>
      </c>
      <c r="N55">
        <v>9.3000000000000007</v>
      </c>
      <c r="O55">
        <v>9.49</v>
      </c>
      <c r="P55">
        <v>60.85</v>
      </c>
      <c r="Q55">
        <v>120948024</v>
      </c>
      <c r="R55">
        <v>0.72</v>
      </c>
      <c r="S55" t="s">
        <v>133</v>
      </c>
      <c r="T55" t="s">
        <v>30</v>
      </c>
      <c r="U55">
        <v>9.27</v>
      </c>
      <c r="V55">
        <v>9.76</v>
      </c>
      <c r="W55">
        <v>57050</v>
      </c>
      <c r="X55">
        <v>66889</v>
      </c>
      <c r="Y55">
        <v>0.85</v>
      </c>
      <c r="Z55">
        <v>172</v>
      </c>
      <c r="AA55">
        <v>123</v>
      </c>
      <c r="AB55" t="s">
        <v>31</v>
      </c>
    </row>
    <row r="56" spans="1:28">
      <c r="A56" t="str">
        <f>"600074"</f>
        <v>600074</v>
      </c>
      <c r="B56" t="s">
        <v>134</v>
      </c>
      <c r="C56">
        <v>0</v>
      </c>
      <c r="D56">
        <v>4.1399999999999997</v>
      </c>
      <c r="E56">
        <v>0</v>
      </c>
      <c r="F56" t="s">
        <v>31</v>
      </c>
      <c r="G56" t="s">
        <v>31</v>
      </c>
      <c r="H56">
        <v>0</v>
      </c>
      <c r="I56">
        <v>0</v>
      </c>
      <c r="J56">
        <v>0</v>
      </c>
      <c r="K56">
        <v>0</v>
      </c>
      <c r="L56" t="s">
        <v>31</v>
      </c>
      <c r="M56" t="s">
        <v>31</v>
      </c>
      <c r="N56" t="s">
        <v>31</v>
      </c>
      <c r="O56">
        <v>4.1399999999999997</v>
      </c>
      <c r="P56" t="s">
        <v>31</v>
      </c>
      <c r="Q56">
        <v>0</v>
      </c>
      <c r="R56">
        <v>0</v>
      </c>
      <c r="S56" t="s">
        <v>135</v>
      </c>
      <c r="T56" t="s">
        <v>120</v>
      </c>
      <c r="U56">
        <v>0</v>
      </c>
      <c r="V56">
        <v>4.1399999999999997</v>
      </c>
      <c r="W56">
        <v>0</v>
      </c>
      <c r="X56">
        <v>0</v>
      </c>
      <c r="Y56" t="s">
        <v>31</v>
      </c>
      <c r="Z56">
        <v>0</v>
      </c>
      <c r="AA56">
        <v>0</v>
      </c>
      <c r="AB56" t="s">
        <v>31</v>
      </c>
    </row>
    <row r="57" spans="1:28">
      <c r="A57" t="str">
        <f>"600075"</f>
        <v>600075</v>
      </c>
      <c r="B57" t="s">
        <v>136</v>
      </c>
      <c r="C57">
        <v>0.65</v>
      </c>
      <c r="D57">
        <v>6.22</v>
      </c>
      <c r="E57">
        <v>0.04</v>
      </c>
      <c r="F57">
        <v>6.22</v>
      </c>
      <c r="G57">
        <v>6.23</v>
      </c>
      <c r="H57">
        <v>24184</v>
      </c>
      <c r="I57">
        <v>30</v>
      </c>
      <c r="J57">
        <v>-0.16</v>
      </c>
      <c r="K57">
        <v>0.55000000000000004</v>
      </c>
      <c r="L57">
        <v>6.2</v>
      </c>
      <c r="M57">
        <v>6.26</v>
      </c>
      <c r="N57">
        <v>6.15</v>
      </c>
      <c r="O57">
        <v>6.18</v>
      </c>
      <c r="P57" t="s">
        <v>31</v>
      </c>
      <c r="Q57">
        <v>15005403</v>
      </c>
      <c r="R57">
        <v>0.61</v>
      </c>
      <c r="S57" t="s">
        <v>137</v>
      </c>
      <c r="T57" t="s">
        <v>138</v>
      </c>
      <c r="U57">
        <v>1.78</v>
      </c>
      <c r="V57">
        <v>6.2</v>
      </c>
      <c r="W57">
        <v>13957</v>
      </c>
      <c r="X57">
        <v>10227</v>
      </c>
      <c r="Y57">
        <v>1.36</v>
      </c>
      <c r="Z57">
        <v>130</v>
      </c>
      <c r="AA57">
        <v>52</v>
      </c>
      <c r="AB57" t="s">
        <v>31</v>
      </c>
    </row>
    <row r="58" spans="1:28">
      <c r="A58" t="str">
        <f>"600076"</f>
        <v>600076</v>
      </c>
      <c r="B58" t="s">
        <v>139</v>
      </c>
      <c r="C58">
        <v>1.74</v>
      </c>
      <c r="D58">
        <v>5.27</v>
      </c>
      <c r="E58">
        <v>0.09</v>
      </c>
      <c r="F58">
        <v>5.26</v>
      </c>
      <c r="G58">
        <v>5.27</v>
      </c>
      <c r="H58">
        <v>94362</v>
      </c>
      <c r="I58">
        <v>198</v>
      </c>
      <c r="J58">
        <v>-0.18</v>
      </c>
      <c r="K58">
        <v>2.58</v>
      </c>
      <c r="L58">
        <v>5.15</v>
      </c>
      <c r="M58">
        <v>5.36</v>
      </c>
      <c r="N58">
        <v>4.88</v>
      </c>
      <c r="O58">
        <v>5.18</v>
      </c>
      <c r="P58" t="s">
        <v>31</v>
      </c>
      <c r="Q58">
        <v>48481436</v>
      </c>
      <c r="R58">
        <v>0.66</v>
      </c>
      <c r="S58" t="s">
        <v>140</v>
      </c>
      <c r="T58" t="s">
        <v>57</v>
      </c>
      <c r="U58">
        <v>9.27</v>
      </c>
      <c r="V58">
        <v>5.14</v>
      </c>
      <c r="W58">
        <v>48484</v>
      </c>
      <c r="X58">
        <v>45878</v>
      </c>
      <c r="Y58">
        <v>1.06</v>
      </c>
      <c r="Z58">
        <v>244</v>
      </c>
      <c r="AA58">
        <v>42</v>
      </c>
      <c r="AB58" t="s">
        <v>31</v>
      </c>
    </row>
    <row r="59" spans="1:28">
      <c r="A59" t="str">
        <f>"600077"</f>
        <v>600077</v>
      </c>
      <c r="B59" t="s">
        <v>141</v>
      </c>
      <c r="C59">
        <v>0.71</v>
      </c>
      <c r="D59">
        <v>4.26</v>
      </c>
      <c r="E59">
        <v>0.03</v>
      </c>
      <c r="F59">
        <v>4.26</v>
      </c>
      <c r="G59">
        <v>4.2699999999999996</v>
      </c>
      <c r="H59">
        <v>39455</v>
      </c>
      <c r="I59">
        <v>13</v>
      </c>
      <c r="J59">
        <v>0</v>
      </c>
      <c r="K59">
        <v>0.83</v>
      </c>
      <c r="L59">
        <v>4.22</v>
      </c>
      <c r="M59">
        <v>4.26</v>
      </c>
      <c r="N59">
        <v>4.13</v>
      </c>
      <c r="O59">
        <v>4.2300000000000004</v>
      </c>
      <c r="P59">
        <v>187.84</v>
      </c>
      <c r="Q59">
        <v>16646423</v>
      </c>
      <c r="R59">
        <v>0.88</v>
      </c>
      <c r="S59" t="s">
        <v>90</v>
      </c>
      <c r="T59" t="s">
        <v>142</v>
      </c>
      <c r="U59">
        <v>3.07</v>
      </c>
      <c r="V59">
        <v>4.22</v>
      </c>
      <c r="W59">
        <v>15565</v>
      </c>
      <c r="X59">
        <v>23890</v>
      </c>
      <c r="Y59">
        <v>0.65</v>
      </c>
      <c r="Z59">
        <v>39</v>
      </c>
      <c r="AA59">
        <v>532</v>
      </c>
      <c r="AB59" t="s">
        <v>31</v>
      </c>
    </row>
    <row r="60" spans="1:28">
      <c r="A60" t="str">
        <f>"600078"</f>
        <v>600078</v>
      </c>
      <c r="B60" t="s">
        <v>143</v>
      </c>
      <c r="C60">
        <v>1.21</v>
      </c>
      <c r="D60">
        <v>5.84</v>
      </c>
      <c r="E60">
        <v>7.0000000000000007E-2</v>
      </c>
      <c r="F60">
        <v>5.84</v>
      </c>
      <c r="G60">
        <v>5.85</v>
      </c>
      <c r="H60">
        <v>53340</v>
      </c>
      <c r="I60">
        <v>6</v>
      </c>
      <c r="J60">
        <v>0</v>
      </c>
      <c r="K60">
        <v>0.81</v>
      </c>
      <c r="L60">
        <v>5.79</v>
      </c>
      <c r="M60">
        <v>5.86</v>
      </c>
      <c r="N60">
        <v>5.76</v>
      </c>
      <c r="O60">
        <v>5.77</v>
      </c>
      <c r="P60">
        <v>72.55</v>
      </c>
      <c r="Q60">
        <v>31059896</v>
      </c>
      <c r="R60">
        <v>0.69</v>
      </c>
      <c r="S60" t="s">
        <v>137</v>
      </c>
      <c r="T60" t="s">
        <v>120</v>
      </c>
      <c r="U60">
        <v>1.73</v>
      </c>
      <c r="V60">
        <v>5.82</v>
      </c>
      <c r="W60">
        <v>24443</v>
      </c>
      <c r="X60">
        <v>28897</v>
      </c>
      <c r="Y60">
        <v>0.85</v>
      </c>
      <c r="Z60">
        <v>5</v>
      </c>
      <c r="AA60">
        <v>167</v>
      </c>
      <c r="AB60" t="s">
        <v>31</v>
      </c>
    </row>
    <row r="61" spans="1:28">
      <c r="A61" t="str">
        <f>"600079"</f>
        <v>600079</v>
      </c>
      <c r="B61" t="s">
        <v>144</v>
      </c>
      <c r="C61">
        <v>-1.22</v>
      </c>
      <c r="D61">
        <v>25.98</v>
      </c>
      <c r="E61">
        <v>-0.32</v>
      </c>
      <c r="F61">
        <v>25.98</v>
      </c>
      <c r="G61">
        <v>25.99</v>
      </c>
      <c r="H61">
        <v>124512</v>
      </c>
      <c r="I61">
        <v>11</v>
      </c>
      <c r="J61">
        <v>0.3</v>
      </c>
      <c r="K61">
        <v>2.7</v>
      </c>
      <c r="L61">
        <v>26.23</v>
      </c>
      <c r="M61">
        <v>26.29</v>
      </c>
      <c r="N61">
        <v>25</v>
      </c>
      <c r="O61">
        <v>26.3</v>
      </c>
      <c r="P61">
        <v>33.17</v>
      </c>
      <c r="Q61">
        <v>318866176</v>
      </c>
      <c r="R61">
        <v>2.3199999999999998</v>
      </c>
      <c r="S61" t="s">
        <v>145</v>
      </c>
      <c r="T61" t="s">
        <v>37</v>
      </c>
      <c r="U61">
        <v>4.9000000000000004</v>
      </c>
      <c r="V61">
        <v>25.61</v>
      </c>
      <c r="W61">
        <v>56104</v>
      </c>
      <c r="X61">
        <v>68408</v>
      </c>
      <c r="Y61">
        <v>0.82</v>
      </c>
      <c r="Z61">
        <v>144</v>
      </c>
      <c r="AA61">
        <v>87</v>
      </c>
      <c r="AB61" t="s">
        <v>31</v>
      </c>
    </row>
    <row r="62" spans="1:28">
      <c r="A62" t="str">
        <f>"600080"</f>
        <v>600080</v>
      </c>
      <c r="B62" t="s">
        <v>146</v>
      </c>
      <c r="C62">
        <v>0.21</v>
      </c>
      <c r="D62">
        <v>9.33</v>
      </c>
      <c r="E62">
        <v>0.02</v>
      </c>
      <c r="F62">
        <v>9.33</v>
      </c>
      <c r="G62">
        <v>9.34</v>
      </c>
      <c r="H62">
        <v>35086</v>
      </c>
      <c r="I62">
        <v>15</v>
      </c>
      <c r="J62">
        <v>0.21</v>
      </c>
      <c r="K62">
        <v>1.1499999999999999</v>
      </c>
      <c r="L62">
        <v>9.3000000000000007</v>
      </c>
      <c r="M62">
        <v>9.35</v>
      </c>
      <c r="N62">
        <v>9.17</v>
      </c>
      <c r="O62">
        <v>9.31</v>
      </c>
      <c r="P62">
        <v>68.95</v>
      </c>
      <c r="Q62">
        <v>32517712</v>
      </c>
      <c r="R62">
        <v>0.67</v>
      </c>
      <c r="S62" t="s">
        <v>145</v>
      </c>
      <c r="T62" t="s">
        <v>147</v>
      </c>
      <c r="U62">
        <v>1.93</v>
      </c>
      <c r="V62">
        <v>9.27</v>
      </c>
      <c r="W62">
        <v>20196</v>
      </c>
      <c r="X62">
        <v>14890</v>
      </c>
      <c r="Y62">
        <v>1.36</v>
      </c>
      <c r="Z62">
        <v>38</v>
      </c>
      <c r="AA62">
        <v>148</v>
      </c>
      <c r="AB62" t="s">
        <v>31</v>
      </c>
    </row>
    <row r="63" spans="1:28">
      <c r="A63" t="str">
        <f>"600081"</f>
        <v>600081</v>
      </c>
      <c r="B63" t="s">
        <v>148</v>
      </c>
      <c r="C63">
        <v>-4.6900000000000004</v>
      </c>
      <c r="D63">
        <v>8.5399999999999991</v>
      </c>
      <c r="E63">
        <v>-0.42</v>
      </c>
      <c r="F63">
        <v>8.5399999999999991</v>
      </c>
      <c r="G63">
        <v>8.5500000000000007</v>
      </c>
      <c r="H63">
        <v>79307</v>
      </c>
      <c r="I63">
        <v>7</v>
      </c>
      <c r="J63">
        <v>-0.35</v>
      </c>
      <c r="K63">
        <v>2.5299999999999998</v>
      </c>
      <c r="L63">
        <v>8.6</v>
      </c>
      <c r="M63">
        <v>8.84</v>
      </c>
      <c r="N63">
        <v>8.2200000000000006</v>
      </c>
      <c r="O63">
        <v>8.9600000000000009</v>
      </c>
      <c r="P63">
        <v>13</v>
      </c>
      <c r="Q63">
        <v>67540264</v>
      </c>
      <c r="R63">
        <v>1.05</v>
      </c>
      <c r="S63" t="s">
        <v>149</v>
      </c>
      <c r="T63" t="s">
        <v>30</v>
      </c>
      <c r="U63">
        <v>6.92</v>
      </c>
      <c r="V63">
        <v>8.52</v>
      </c>
      <c r="W63">
        <v>41450</v>
      </c>
      <c r="X63">
        <v>37857</v>
      </c>
      <c r="Y63">
        <v>1.0900000000000001</v>
      </c>
      <c r="Z63">
        <v>113</v>
      </c>
      <c r="AA63">
        <v>3533</v>
      </c>
      <c r="AB63" t="s">
        <v>31</v>
      </c>
    </row>
    <row r="64" spans="1:28">
      <c r="A64" t="str">
        <f>"600082"</f>
        <v>600082</v>
      </c>
      <c r="B64" t="s">
        <v>150</v>
      </c>
      <c r="C64">
        <v>6.13</v>
      </c>
      <c r="D64">
        <v>5.0199999999999996</v>
      </c>
      <c r="E64">
        <v>0.28999999999999998</v>
      </c>
      <c r="F64">
        <v>5.0199999999999996</v>
      </c>
      <c r="G64">
        <v>5.03</v>
      </c>
      <c r="H64">
        <v>208413</v>
      </c>
      <c r="I64">
        <v>17</v>
      </c>
      <c r="J64">
        <v>0</v>
      </c>
      <c r="K64">
        <v>3.31</v>
      </c>
      <c r="L64">
        <v>4.68</v>
      </c>
      <c r="M64">
        <v>5.0999999999999996</v>
      </c>
      <c r="N64">
        <v>4.62</v>
      </c>
      <c r="O64">
        <v>4.7300000000000004</v>
      </c>
      <c r="P64">
        <v>103.76</v>
      </c>
      <c r="Q64">
        <v>102307184</v>
      </c>
      <c r="R64">
        <v>1.01</v>
      </c>
      <c r="S64" t="s">
        <v>41</v>
      </c>
      <c r="T64" t="s">
        <v>151</v>
      </c>
      <c r="U64">
        <v>10.15</v>
      </c>
      <c r="V64">
        <v>4.91</v>
      </c>
      <c r="W64">
        <v>87394</v>
      </c>
      <c r="X64">
        <v>121019</v>
      </c>
      <c r="Y64">
        <v>0.72</v>
      </c>
      <c r="Z64">
        <v>909</v>
      </c>
      <c r="AA64">
        <v>1000</v>
      </c>
      <c r="AB64" t="s">
        <v>31</v>
      </c>
    </row>
    <row r="65" spans="1:28">
      <c r="A65" t="str">
        <f>"600083"</f>
        <v>600083</v>
      </c>
      <c r="B65" t="s">
        <v>152</v>
      </c>
      <c r="C65">
        <v>7.86</v>
      </c>
      <c r="D65">
        <v>8.65</v>
      </c>
      <c r="E65">
        <v>0.63</v>
      </c>
      <c r="F65">
        <v>8.6300000000000008</v>
      </c>
      <c r="G65">
        <v>8.64</v>
      </c>
      <c r="H65">
        <v>62437</v>
      </c>
      <c r="I65">
        <v>128</v>
      </c>
      <c r="J65">
        <v>-0.34</v>
      </c>
      <c r="K65">
        <v>2.76</v>
      </c>
      <c r="L65">
        <v>8</v>
      </c>
      <c r="M65">
        <v>8.7899999999999991</v>
      </c>
      <c r="N65">
        <v>7.88</v>
      </c>
      <c r="O65">
        <v>8.02</v>
      </c>
      <c r="P65" t="s">
        <v>31</v>
      </c>
      <c r="Q65">
        <v>52107132</v>
      </c>
      <c r="R65">
        <v>2.48</v>
      </c>
      <c r="S65" t="s">
        <v>153</v>
      </c>
      <c r="T65" t="s">
        <v>34</v>
      </c>
      <c r="U65">
        <v>11.35</v>
      </c>
      <c r="V65">
        <v>8.35</v>
      </c>
      <c r="W65">
        <v>22624</v>
      </c>
      <c r="X65">
        <v>39813</v>
      </c>
      <c r="Y65">
        <v>0.56999999999999995</v>
      </c>
      <c r="Z65">
        <v>4</v>
      </c>
      <c r="AA65">
        <v>561</v>
      </c>
      <c r="AB65" t="s">
        <v>31</v>
      </c>
    </row>
    <row r="66" spans="1:28">
      <c r="A66" t="str">
        <f>"600084"</f>
        <v>600084</v>
      </c>
      <c r="B66" t="s">
        <v>154</v>
      </c>
      <c r="C66">
        <v>0.76</v>
      </c>
      <c r="D66">
        <v>3.98</v>
      </c>
      <c r="E66">
        <v>0.03</v>
      </c>
      <c r="F66">
        <v>3.98</v>
      </c>
      <c r="G66">
        <v>3.99</v>
      </c>
      <c r="H66">
        <v>32548</v>
      </c>
      <c r="I66">
        <v>11</v>
      </c>
      <c r="J66">
        <v>0</v>
      </c>
      <c r="K66">
        <v>0.4</v>
      </c>
      <c r="L66">
        <v>3.94</v>
      </c>
      <c r="M66">
        <v>4.01</v>
      </c>
      <c r="N66">
        <v>3.91</v>
      </c>
      <c r="O66">
        <v>3.95</v>
      </c>
      <c r="P66" t="s">
        <v>31</v>
      </c>
      <c r="Q66">
        <v>12920386</v>
      </c>
      <c r="R66">
        <v>0.75</v>
      </c>
      <c r="S66" t="s">
        <v>111</v>
      </c>
      <c r="T66" t="s">
        <v>138</v>
      </c>
      <c r="U66">
        <v>2.5299999999999998</v>
      </c>
      <c r="V66">
        <v>3.97</v>
      </c>
      <c r="W66">
        <v>18564</v>
      </c>
      <c r="X66">
        <v>13984</v>
      </c>
      <c r="Y66">
        <v>1.33</v>
      </c>
      <c r="Z66">
        <v>153</v>
      </c>
      <c r="AA66">
        <v>647</v>
      </c>
      <c r="AB66" t="s">
        <v>31</v>
      </c>
    </row>
    <row r="67" spans="1:28">
      <c r="A67" t="str">
        <f>"600085"</f>
        <v>600085</v>
      </c>
      <c r="B67" t="s">
        <v>155</v>
      </c>
      <c r="C67">
        <v>-0.1</v>
      </c>
      <c r="D67">
        <v>20.260000000000002</v>
      </c>
      <c r="E67">
        <v>-0.02</v>
      </c>
      <c r="F67">
        <v>20.239999999999998</v>
      </c>
      <c r="G67">
        <v>20.25</v>
      </c>
      <c r="H67">
        <v>129294</v>
      </c>
      <c r="I67">
        <v>18</v>
      </c>
      <c r="J67">
        <v>0.04</v>
      </c>
      <c r="K67">
        <v>0.99</v>
      </c>
      <c r="L67">
        <v>20.309999999999999</v>
      </c>
      <c r="M67">
        <v>20.58</v>
      </c>
      <c r="N67">
        <v>19.739999999999998</v>
      </c>
      <c r="O67">
        <v>20.28</v>
      </c>
      <c r="P67">
        <v>35.64</v>
      </c>
      <c r="Q67">
        <v>258635440</v>
      </c>
      <c r="R67">
        <v>1.53</v>
      </c>
      <c r="S67" t="s">
        <v>156</v>
      </c>
      <c r="T67" t="s">
        <v>42</v>
      </c>
      <c r="U67">
        <v>4.1399999999999997</v>
      </c>
      <c r="V67">
        <v>20</v>
      </c>
      <c r="W67">
        <v>69689</v>
      </c>
      <c r="X67">
        <v>59605</v>
      </c>
      <c r="Y67">
        <v>1.17</v>
      </c>
      <c r="Z67">
        <v>12</v>
      </c>
      <c r="AA67">
        <v>1</v>
      </c>
      <c r="AB67" t="s">
        <v>31</v>
      </c>
    </row>
    <row r="68" spans="1:28">
      <c r="A68" t="str">
        <f>"600086"</f>
        <v>600086</v>
      </c>
      <c r="B68" t="s">
        <v>157</v>
      </c>
      <c r="C68">
        <v>1.19</v>
      </c>
      <c r="D68">
        <v>19.55</v>
      </c>
      <c r="E68">
        <v>0.23</v>
      </c>
      <c r="F68">
        <v>19.52</v>
      </c>
      <c r="G68">
        <v>19.54</v>
      </c>
      <c r="H68">
        <v>18428</v>
      </c>
      <c r="I68">
        <v>5</v>
      </c>
      <c r="J68">
        <v>0.05</v>
      </c>
      <c r="K68">
        <v>0.52</v>
      </c>
      <c r="L68">
        <v>19.36</v>
      </c>
      <c r="M68">
        <v>19.75</v>
      </c>
      <c r="N68">
        <v>19.25</v>
      </c>
      <c r="O68">
        <v>19.32</v>
      </c>
      <c r="P68">
        <v>34.549999999999997</v>
      </c>
      <c r="Q68">
        <v>35980700</v>
      </c>
      <c r="R68">
        <v>0.51</v>
      </c>
      <c r="S68" t="s">
        <v>158</v>
      </c>
      <c r="T68" t="s">
        <v>37</v>
      </c>
      <c r="U68">
        <v>2.59</v>
      </c>
      <c r="V68">
        <v>19.52</v>
      </c>
      <c r="W68">
        <v>8423</v>
      </c>
      <c r="X68">
        <v>10005</v>
      </c>
      <c r="Y68">
        <v>0.84</v>
      </c>
      <c r="Z68">
        <v>13</v>
      </c>
      <c r="AA68">
        <v>5</v>
      </c>
      <c r="AB68" t="s">
        <v>31</v>
      </c>
    </row>
    <row r="69" spans="1:28">
      <c r="A69" t="str">
        <f>"600088"</f>
        <v>600088</v>
      </c>
      <c r="B69" t="s">
        <v>159</v>
      </c>
      <c r="C69">
        <v>0</v>
      </c>
      <c r="D69">
        <v>19.53</v>
      </c>
      <c r="E69">
        <v>0</v>
      </c>
      <c r="F69" t="s">
        <v>31</v>
      </c>
      <c r="G69" t="s">
        <v>31</v>
      </c>
      <c r="H69">
        <v>0</v>
      </c>
      <c r="I69">
        <v>0</v>
      </c>
      <c r="J69">
        <v>0</v>
      </c>
      <c r="K69">
        <v>0</v>
      </c>
      <c r="L69" t="s">
        <v>31</v>
      </c>
      <c r="M69" t="s">
        <v>31</v>
      </c>
      <c r="N69" t="s">
        <v>31</v>
      </c>
      <c r="O69">
        <v>19.53</v>
      </c>
      <c r="P69">
        <v>77.48</v>
      </c>
      <c r="Q69">
        <v>0</v>
      </c>
      <c r="R69">
        <v>0</v>
      </c>
      <c r="S69" t="s">
        <v>82</v>
      </c>
      <c r="T69" t="s">
        <v>30</v>
      </c>
      <c r="U69">
        <v>0</v>
      </c>
      <c r="V69">
        <v>19.53</v>
      </c>
      <c r="W69">
        <v>0</v>
      </c>
      <c r="X69">
        <v>0</v>
      </c>
      <c r="Y69" t="s">
        <v>31</v>
      </c>
      <c r="Z69">
        <v>0</v>
      </c>
      <c r="AA69">
        <v>0</v>
      </c>
      <c r="AB69" t="s">
        <v>31</v>
      </c>
    </row>
    <row r="70" spans="1:28">
      <c r="A70" t="str">
        <f>"600089"</f>
        <v>600089</v>
      </c>
      <c r="B70" t="s">
        <v>160</v>
      </c>
      <c r="C70">
        <v>-4.9000000000000004</v>
      </c>
      <c r="D70">
        <v>12.04</v>
      </c>
      <c r="E70">
        <v>-0.62</v>
      </c>
      <c r="F70">
        <v>12.03</v>
      </c>
      <c r="G70">
        <v>12.04</v>
      </c>
      <c r="H70">
        <v>606244</v>
      </c>
      <c r="I70">
        <v>107</v>
      </c>
      <c r="J70">
        <v>-0.08</v>
      </c>
      <c r="K70">
        <v>2.2999999999999998</v>
      </c>
      <c r="L70">
        <v>12.75</v>
      </c>
      <c r="M70">
        <v>12.77</v>
      </c>
      <c r="N70">
        <v>11.73</v>
      </c>
      <c r="O70">
        <v>12.66</v>
      </c>
      <c r="P70">
        <v>23.22</v>
      </c>
      <c r="Q70">
        <v>734211840</v>
      </c>
      <c r="R70">
        <v>1.07</v>
      </c>
      <c r="S70" t="s">
        <v>161</v>
      </c>
      <c r="T70" t="s">
        <v>138</v>
      </c>
      <c r="U70">
        <v>8.2100000000000009</v>
      </c>
      <c r="V70">
        <v>12.11</v>
      </c>
      <c r="W70">
        <v>310466</v>
      </c>
      <c r="X70">
        <v>295778</v>
      </c>
      <c r="Y70">
        <v>1.05</v>
      </c>
      <c r="Z70">
        <v>509</v>
      </c>
      <c r="AA70">
        <v>278</v>
      </c>
      <c r="AB70" t="s">
        <v>31</v>
      </c>
    </row>
    <row r="71" spans="1:28">
      <c r="A71" t="str">
        <f>"600090"</f>
        <v>600090</v>
      </c>
      <c r="B71" t="s">
        <v>162</v>
      </c>
      <c r="C71">
        <v>1.01</v>
      </c>
      <c r="D71">
        <v>6.99</v>
      </c>
      <c r="E71">
        <v>7.0000000000000007E-2</v>
      </c>
      <c r="F71">
        <v>6.98</v>
      </c>
      <c r="G71">
        <v>7</v>
      </c>
      <c r="H71">
        <v>25610</v>
      </c>
      <c r="I71">
        <v>314</v>
      </c>
      <c r="J71">
        <v>0.14000000000000001</v>
      </c>
      <c r="K71">
        <v>0.7</v>
      </c>
      <c r="L71">
        <v>6.88</v>
      </c>
      <c r="M71">
        <v>7</v>
      </c>
      <c r="N71">
        <v>6.88</v>
      </c>
      <c r="O71">
        <v>6.92</v>
      </c>
      <c r="P71">
        <v>14.91</v>
      </c>
      <c r="Q71">
        <v>17813670</v>
      </c>
      <c r="R71">
        <v>0.65</v>
      </c>
      <c r="S71" t="s">
        <v>163</v>
      </c>
      <c r="T71" t="s">
        <v>138</v>
      </c>
      <c r="U71">
        <v>1.73</v>
      </c>
      <c r="V71">
        <v>6.96</v>
      </c>
      <c r="W71">
        <v>13844</v>
      </c>
      <c r="X71">
        <v>11766</v>
      </c>
      <c r="Y71">
        <v>1.18</v>
      </c>
      <c r="Z71">
        <v>288</v>
      </c>
      <c r="AA71">
        <v>146</v>
      </c>
      <c r="AB71" t="s">
        <v>31</v>
      </c>
    </row>
    <row r="72" spans="1:28">
      <c r="A72" t="str">
        <f>"600091"</f>
        <v>600091</v>
      </c>
      <c r="B72" t="s">
        <v>164</v>
      </c>
      <c r="C72">
        <v>2.61</v>
      </c>
      <c r="D72">
        <v>4.72</v>
      </c>
      <c r="E72">
        <v>0.12</v>
      </c>
      <c r="F72">
        <v>4.71</v>
      </c>
      <c r="G72">
        <v>4.72</v>
      </c>
      <c r="H72">
        <v>16051</v>
      </c>
      <c r="I72">
        <v>75</v>
      </c>
      <c r="J72">
        <v>0.21</v>
      </c>
      <c r="K72">
        <v>0.48</v>
      </c>
      <c r="L72">
        <v>4.5999999999999996</v>
      </c>
      <c r="M72">
        <v>4.74</v>
      </c>
      <c r="N72">
        <v>4.58</v>
      </c>
      <c r="O72">
        <v>4.5999999999999996</v>
      </c>
      <c r="P72" t="s">
        <v>31</v>
      </c>
      <c r="Q72">
        <v>7509657</v>
      </c>
      <c r="R72">
        <v>1.26</v>
      </c>
      <c r="S72" t="s">
        <v>137</v>
      </c>
      <c r="T72" t="s">
        <v>47</v>
      </c>
      <c r="U72">
        <v>3.48</v>
      </c>
      <c r="V72">
        <v>4.68</v>
      </c>
      <c r="W72">
        <v>6940</v>
      </c>
      <c r="X72">
        <v>9111</v>
      </c>
      <c r="Y72">
        <v>0.76</v>
      </c>
      <c r="Z72">
        <v>119</v>
      </c>
      <c r="AA72">
        <v>40</v>
      </c>
      <c r="AB72" t="s">
        <v>31</v>
      </c>
    </row>
    <row r="73" spans="1:28">
      <c r="A73" t="str">
        <f>"600093"</f>
        <v>600093</v>
      </c>
      <c r="B73" t="s">
        <v>165</v>
      </c>
      <c r="C73">
        <v>0.81</v>
      </c>
      <c r="D73">
        <v>6.24</v>
      </c>
      <c r="E73">
        <v>0.05</v>
      </c>
      <c r="F73">
        <v>6.2</v>
      </c>
      <c r="G73">
        <v>6.24</v>
      </c>
      <c r="H73">
        <v>16857</v>
      </c>
      <c r="I73">
        <v>39</v>
      </c>
      <c r="J73">
        <v>0.97</v>
      </c>
      <c r="K73">
        <v>0.52</v>
      </c>
      <c r="L73">
        <v>6.29</v>
      </c>
      <c r="M73">
        <v>6.29</v>
      </c>
      <c r="N73">
        <v>6.1</v>
      </c>
      <c r="O73">
        <v>6.19</v>
      </c>
      <c r="P73">
        <v>47.35</v>
      </c>
      <c r="Q73">
        <v>10403276</v>
      </c>
      <c r="R73">
        <v>0.63</v>
      </c>
      <c r="S73" t="s">
        <v>149</v>
      </c>
      <c r="T73" t="s">
        <v>88</v>
      </c>
      <c r="U73">
        <v>3.07</v>
      </c>
      <c r="V73">
        <v>6.17</v>
      </c>
      <c r="W73">
        <v>9193</v>
      </c>
      <c r="X73">
        <v>7664</v>
      </c>
      <c r="Y73">
        <v>1.2</v>
      </c>
      <c r="Z73">
        <v>3</v>
      </c>
      <c r="AA73">
        <v>10</v>
      </c>
      <c r="AB73" t="s">
        <v>31</v>
      </c>
    </row>
    <row r="74" spans="1:28">
      <c r="A74" t="str">
        <f>"600094"</f>
        <v>600094</v>
      </c>
      <c r="B74" t="s">
        <v>166</v>
      </c>
      <c r="C74">
        <v>-0.37</v>
      </c>
      <c r="D74">
        <v>5.39</v>
      </c>
      <c r="E74">
        <v>-0.02</v>
      </c>
      <c r="F74">
        <v>5.39</v>
      </c>
      <c r="G74">
        <v>5.4</v>
      </c>
      <c r="H74">
        <v>46119</v>
      </c>
      <c r="I74">
        <v>23</v>
      </c>
      <c r="J74">
        <v>0</v>
      </c>
      <c r="K74">
        <v>2.31</v>
      </c>
      <c r="L74">
        <v>5.4</v>
      </c>
      <c r="M74">
        <v>5.43</v>
      </c>
      <c r="N74">
        <v>5.28</v>
      </c>
      <c r="O74">
        <v>5.41</v>
      </c>
      <c r="P74">
        <v>27.71</v>
      </c>
      <c r="Q74">
        <v>24692136</v>
      </c>
      <c r="R74">
        <v>1.19</v>
      </c>
      <c r="S74" t="s">
        <v>97</v>
      </c>
      <c r="T74" t="s">
        <v>30</v>
      </c>
      <c r="U74">
        <v>2.77</v>
      </c>
      <c r="V74">
        <v>5.35</v>
      </c>
      <c r="W74">
        <v>25618</v>
      </c>
      <c r="X74">
        <v>20501</v>
      </c>
      <c r="Y74">
        <v>1.25</v>
      </c>
      <c r="Z74">
        <v>96</v>
      </c>
      <c r="AA74">
        <v>370</v>
      </c>
      <c r="AB74" t="s">
        <v>31</v>
      </c>
    </row>
    <row r="75" spans="1:28">
      <c r="A75" t="str">
        <f>"600095"</f>
        <v>600095</v>
      </c>
      <c r="B75" t="s">
        <v>167</v>
      </c>
      <c r="C75">
        <v>1.28</v>
      </c>
      <c r="D75">
        <v>4.7300000000000004</v>
      </c>
      <c r="E75">
        <v>0.06</v>
      </c>
      <c r="F75">
        <v>4.72</v>
      </c>
      <c r="G75">
        <v>4.7300000000000004</v>
      </c>
      <c r="H75">
        <v>22052</v>
      </c>
      <c r="I75">
        <v>78</v>
      </c>
      <c r="J75">
        <v>0.21</v>
      </c>
      <c r="K75">
        <v>0.61</v>
      </c>
      <c r="L75">
        <v>4.67</v>
      </c>
      <c r="M75">
        <v>4.7300000000000004</v>
      </c>
      <c r="N75">
        <v>4.57</v>
      </c>
      <c r="O75">
        <v>4.67</v>
      </c>
      <c r="P75" t="s">
        <v>31</v>
      </c>
      <c r="Q75">
        <v>10286519</v>
      </c>
      <c r="R75">
        <v>0.65</v>
      </c>
      <c r="S75" t="s">
        <v>133</v>
      </c>
      <c r="T75" t="s">
        <v>85</v>
      </c>
      <c r="U75">
        <v>3.43</v>
      </c>
      <c r="V75">
        <v>4.66</v>
      </c>
      <c r="W75">
        <v>10700</v>
      </c>
      <c r="X75">
        <v>11352</v>
      </c>
      <c r="Y75">
        <v>0.94</v>
      </c>
      <c r="Z75">
        <v>237</v>
      </c>
      <c r="AA75">
        <v>232</v>
      </c>
      <c r="AB75" t="s">
        <v>31</v>
      </c>
    </row>
    <row r="76" spans="1:28">
      <c r="A76" t="str">
        <f>"600096"</f>
        <v>600096</v>
      </c>
      <c r="B76" t="s">
        <v>168</v>
      </c>
      <c r="C76">
        <v>1.21</v>
      </c>
      <c r="D76">
        <v>8.36</v>
      </c>
      <c r="E76">
        <v>0.1</v>
      </c>
      <c r="F76">
        <v>8.34</v>
      </c>
      <c r="G76">
        <v>8.35</v>
      </c>
      <c r="H76">
        <v>41889</v>
      </c>
      <c r="I76">
        <v>24</v>
      </c>
      <c r="J76">
        <v>0</v>
      </c>
      <c r="K76">
        <v>0.6</v>
      </c>
      <c r="L76">
        <v>8.26</v>
      </c>
      <c r="M76">
        <v>8.36</v>
      </c>
      <c r="N76">
        <v>8.1999999999999993</v>
      </c>
      <c r="O76">
        <v>8.26</v>
      </c>
      <c r="P76" t="s">
        <v>31</v>
      </c>
      <c r="Q76">
        <v>34848040</v>
      </c>
      <c r="R76">
        <v>0.82</v>
      </c>
      <c r="S76" t="s">
        <v>169</v>
      </c>
      <c r="T76" t="s">
        <v>170</v>
      </c>
      <c r="U76">
        <v>1.94</v>
      </c>
      <c r="V76">
        <v>8.32</v>
      </c>
      <c r="W76">
        <v>21120</v>
      </c>
      <c r="X76">
        <v>20769</v>
      </c>
      <c r="Y76">
        <v>1.02</v>
      </c>
      <c r="Z76">
        <v>188</v>
      </c>
      <c r="AA76">
        <v>516</v>
      </c>
      <c r="AB76" t="s">
        <v>31</v>
      </c>
    </row>
    <row r="77" spans="1:28">
      <c r="A77" t="str">
        <f>"600097"</f>
        <v>600097</v>
      </c>
      <c r="B77" t="s">
        <v>171</v>
      </c>
      <c r="C77">
        <v>-0.27</v>
      </c>
      <c r="D77">
        <v>10.99</v>
      </c>
      <c r="E77">
        <v>-0.03</v>
      </c>
      <c r="F77">
        <v>10.99</v>
      </c>
      <c r="G77">
        <v>11</v>
      </c>
      <c r="H77">
        <v>26677</v>
      </c>
      <c r="I77">
        <v>5</v>
      </c>
      <c r="J77">
        <v>0</v>
      </c>
      <c r="K77">
        <v>2.31</v>
      </c>
      <c r="L77">
        <v>11</v>
      </c>
      <c r="M77">
        <v>11.02</v>
      </c>
      <c r="N77">
        <v>10.7</v>
      </c>
      <c r="O77">
        <v>11.02</v>
      </c>
      <c r="P77">
        <v>17.02</v>
      </c>
      <c r="Q77">
        <v>28936756</v>
      </c>
      <c r="R77">
        <v>1.21</v>
      </c>
      <c r="S77" t="s">
        <v>172</v>
      </c>
      <c r="T77" t="s">
        <v>30</v>
      </c>
      <c r="U77">
        <v>2.9</v>
      </c>
      <c r="V77">
        <v>10.85</v>
      </c>
      <c r="W77">
        <v>16778</v>
      </c>
      <c r="X77">
        <v>9899</v>
      </c>
      <c r="Y77">
        <v>1.69</v>
      </c>
      <c r="Z77">
        <v>35</v>
      </c>
      <c r="AA77">
        <v>303</v>
      </c>
      <c r="AB77" t="s">
        <v>31</v>
      </c>
    </row>
    <row r="78" spans="1:28">
      <c r="A78" t="str">
        <f>"600098"</f>
        <v>600098</v>
      </c>
      <c r="B78" t="s">
        <v>173</v>
      </c>
      <c r="C78">
        <v>3.41</v>
      </c>
      <c r="D78">
        <v>5.16</v>
      </c>
      <c r="E78">
        <v>0.17</v>
      </c>
      <c r="F78">
        <v>5.16</v>
      </c>
      <c r="G78">
        <v>5.17</v>
      </c>
      <c r="H78">
        <v>145735</v>
      </c>
      <c r="I78">
        <v>15</v>
      </c>
      <c r="J78">
        <v>-0.19</v>
      </c>
      <c r="K78">
        <v>0.59</v>
      </c>
      <c r="L78">
        <v>4.97</v>
      </c>
      <c r="M78">
        <v>5.21</v>
      </c>
      <c r="N78">
        <v>4.97</v>
      </c>
      <c r="O78">
        <v>4.99</v>
      </c>
      <c r="P78">
        <v>13.46</v>
      </c>
      <c r="Q78">
        <v>75075576</v>
      </c>
      <c r="R78">
        <v>2.08</v>
      </c>
      <c r="S78" t="s">
        <v>49</v>
      </c>
      <c r="T78" t="s">
        <v>34</v>
      </c>
      <c r="U78">
        <v>4.8099999999999996</v>
      </c>
      <c r="V78">
        <v>5.15</v>
      </c>
      <c r="W78">
        <v>54176</v>
      </c>
      <c r="X78">
        <v>91559</v>
      </c>
      <c r="Y78">
        <v>0.59</v>
      </c>
      <c r="Z78">
        <v>229</v>
      </c>
      <c r="AA78">
        <v>291</v>
      </c>
      <c r="AB78" t="s">
        <v>31</v>
      </c>
    </row>
    <row r="79" spans="1:28">
      <c r="A79" t="str">
        <f>"600099"</f>
        <v>600099</v>
      </c>
      <c r="B79" t="s">
        <v>174</v>
      </c>
      <c r="C79">
        <v>1.99</v>
      </c>
      <c r="D79">
        <v>5.13</v>
      </c>
      <c r="E79">
        <v>0.1</v>
      </c>
      <c r="F79">
        <v>5.13</v>
      </c>
      <c r="G79">
        <v>5.14</v>
      </c>
      <c r="H79">
        <v>9048</v>
      </c>
      <c r="I79">
        <v>10</v>
      </c>
      <c r="J79">
        <v>0.19</v>
      </c>
      <c r="K79">
        <v>0.41</v>
      </c>
      <c r="L79">
        <v>5.03</v>
      </c>
      <c r="M79">
        <v>5.14</v>
      </c>
      <c r="N79">
        <v>4.9800000000000004</v>
      </c>
      <c r="O79">
        <v>5.03</v>
      </c>
      <c r="P79">
        <v>1101.76</v>
      </c>
      <c r="Q79">
        <v>4598987</v>
      </c>
      <c r="R79">
        <v>0.42</v>
      </c>
      <c r="S79" t="s">
        <v>175</v>
      </c>
      <c r="T79" t="s">
        <v>120</v>
      </c>
      <c r="U79">
        <v>3.18</v>
      </c>
      <c r="V79">
        <v>5.08</v>
      </c>
      <c r="W79">
        <v>3458</v>
      </c>
      <c r="X79">
        <v>5590</v>
      </c>
      <c r="Y79">
        <v>0.62</v>
      </c>
      <c r="Z79">
        <v>1</v>
      </c>
      <c r="AA79">
        <v>284</v>
      </c>
      <c r="AB79" t="s">
        <v>31</v>
      </c>
    </row>
    <row r="80" spans="1:28">
      <c r="A80" t="str">
        <f>"600100"</f>
        <v>600100</v>
      </c>
      <c r="B80" t="s">
        <v>176</v>
      </c>
      <c r="C80">
        <v>0.72</v>
      </c>
      <c r="D80">
        <v>8.44</v>
      </c>
      <c r="E80">
        <v>0.06</v>
      </c>
      <c r="F80">
        <v>8.44</v>
      </c>
      <c r="G80">
        <v>8.4499999999999993</v>
      </c>
      <c r="H80">
        <v>222993</v>
      </c>
      <c r="I80">
        <v>2</v>
      </c>
      <c r="J80">
        <v>0</v>
      </c>
      <c r="K80">
        <v>1.1200000000000001</v>
      </c>
      <c r="L80">
        <v>8.35</v>
      </c>
      <c r="M80">
        <v>8.49</v>
      </c>
      <c r="N80">
        <v>8.25</v>
      </c>
      <c r="O80">
        <v>8.3800000000000008</v>
      </c>
      <c r="P80">
        <v>21.69</v>
      </c>
      <c r="Q80">
        <v>186709776</v>
      </c>
      <c r="R80">
        <v>0.69</v>
      </c>
      <c r="S80" t="s">
        <v>177</v>
      </c>
      <c r="T80" t="s">
        <v>42</v>
      </c>
      <c r="U80">
        <v>2.86</v>
      </c>
      <c r="V80">
        <v>8.3699999999999992</v>
      </c>
      <c r="W80">
        <v>124294</v>
      </c>
      <c r="X80">
        <v>98699</v>
      </c>
      <c r="Y80">
        <v>1.26</v>
      </c>
      <c r="Z80">
        <v>1</v>
      </c>
      <c r="AA80">
        <v>478</v>
      </c>
      <c r="AB80" t="s">
        <v>31</v>
      </c>
    </row>
    <row r="81" spans="1:28">
      <c r="A81" t="str">
        <f>"600101"</f>
        <v>600101</v>
      </c>
      <c r="B81" t="s">
        <v>178</v>
      </c>
      <c r="C81">
        <v>10.06</v>
      </c>
      <c r="D81">
        <v>9.41</v>
      </c>
      <c r="E81">
        <v>0.86</v>
      </c>
      <c r="F81">
        <v>9.41</v>
      </c>
      <c r="G81" t="s">
        <v>31</v>
      </c>
      <c r="H81">
        <v>341690</v>
      </c>
      <c r="I81">
        <v>10</v>
      </c>
      <c r="J81">
        <v>0</v>
      </c>
      <c r="K81">
        <v>10.54</v>
      </c>
      <c r="L81">
        <v>8.5500000000000007</v>
      </c>
      <c r="M81">
        <v>9.41</v>
      </c>
      <c r="N81">
        <v>8.5</v>
      </c>
      <c r="O81">
        <v>8.5500000000000007</v>
      </c>
      <c r="P81">
        <v>10.5</v>
      </c>
      <c r="Q81">
        <v>319230880</v>
      </c>
      <c r="R81">
        <v>4.29</v>
      </c>
      <c r="S81" t="s">
        <v>179</v>
      </c>
      <c r="T81" t="s">
        <v>88</v>
      </c>
      <c r="U81">
        <v>10.64</v>
      </c>
      <c r="V81">
        <v>9.34</v>
      </c>
      <c r="W81">
        <v>167514</v>
      </c>
      <c r="X81">
        <v>174176</v>
      </c>
      <c r="Y81">
        <v>0.96</v>
      </c>
      <c r="Z81">
        <v>57623</v>
      </c>
      <c r="AA81">
        <v>0</v>
      </c>
      <c r="AB81" t="s">
        <v>31</v>
      </c>
    </row>
    <row r="82" spans="1:28">
      <c r="A82" t="str">
        <f>"600103"</f>
        <v>600103</v>
      </c>
      <c r="B82" t="s">
        <v>180</v>
      </c>
      <c r="C82">
        <v>3.95</v>
      </c>
      <c r="D82">
        <v>2.63</v>
      </c>
      <c r="E82">
        <v>0.1</v>
      </c>
      <c r="F82">
        <v>2.62</v>
      </c>
      <c r="G82">
        <v>2.63</v>
      </c>
      <c r="H82">
        <v>102652</v>
      </c>
      <c r="I82">
        <v>50</v>
      </c>
      <c r="J82">
        <v>0</v>
      </c>
      <c r="K82">
        <v>0.97</v>
      </c>
      <c r="L82">
        <v>2.5299999999999998</v>
      </c>
      <c r="M82">
        <v>2.64</v>
      </c>
      <c r="N82">
        <v>2.52</v>
      </c>
      <c r="O82">
        <v>2.5299999999999998</v>
      </c>
      <c r="P82" t="s">
        <v>31</v>
      </c>
      <c r="Q82">
        <v>26654606</v>
      </c>
      <c r="R82">
        <v>0.96</v>
      </c>
      <c r="S82" t="s">
        <v>125</v>
      </c>
      <c r="T82" t="s">
        <v>78</v>
      </c>
      <c r="U82">
        <v>4.74</v>
      </c>
      <c r="V82">
        <v>2.6</v>
      </c>
      <c r="W82">
        <v>32684</v>
      </c>
      <c r="X82">
        <v>69968</v>
      </c>
      <c r="Y82">
        <v>0.47</v>
      </c>
      <c r="Z82">
        <v>1242</v>
      </c>
      <c r="AA82">
        <v>3078</v>
      </c>
      <c r="AB82" t="s">
        <v>31</v>
      </c>
    </row>
    <row r="83" spans="1:28">
      <c r="A83" t="str">
        <f>"600104"</f>
        <v>600104</v>
      </c>
      <c r="B83" t="s">
        <v>181</v>
      </c>
      <c r="C83">
        <v>3.82</v>
      </c>
      <c r="D83">
        <v>14.42</v>
      </c>
      <c r="E83">
        <v>0.53</v>
      </c>
      <c r="F83">
        <v>14.41</v>
      </c>
      <c r="G83">
        <v>14.42</v>
      </c>
      <c r="H83">
        <v>521385</v>
      </c>
      <c r="I83">
        <v>22</v>
      </c>
      <c r="J83">
        <v>0.2</v>
      </c>
      <c r="K83">
        <v>0.56999999999999995</v>
      </c>
      <c r="L83">
        <v>13.95</v>
      </c>
      <c r="M83">
        <v>14.63</v>
      </c>
      <c r="N83">
        <v>13.8</v>
      </c>
      <c r="O83">
        <v>13.89</v>
      </c>
      <c r="P83">
        <v>6.93</v>
      </c>
      <c r="Q83">
        <v>745485760</v>
      </c>
      <c r="R83">
        <v>1.39</v>
      </c>
      <c r="S83" t="s">
        <v>39</v>
      </c>
      <c r="T83" t="s">
        <v>30</v>
      </c>
      <c r="U83">
        <v>5.98</v>
      </c>
      <c r="V83">
        <v>14.3</v>
      </c>
      <c r="W83">
        <v>239949</v>
      </c>
      <c r="X83">
        <v>281436</v>
      </c>
      <c r="Y83">
        <v>0.85</v>
      </c>
      <c r="Z83">
        <v>1620</v>
      </c>
      <c r="AA83">
        <v>400</v>
      </c>
      <c r="AB83" t="s">
        <v>31</v>
      </c>
    </row>
    <row r="84" spans="1:28">
      <c r="A84" t="str">
        <f>"600105"</f>
        <v>600105</v>
      </c>
      <c r="B84" t="s">
        <v>182</v>
      </c>
      <c r="C84">
        <v>1.1399999999999999</v>
      </c>
      <c r="D84">
        <v>6.21</v>
      </c>
      <c r="E84">
        <v>7.0000000000000007E-2</v>
      </c>
      <c r="F84">
        <v>6.22</v>
      </c>
      <c r="G84">
        <v>6.23</v>
      </c>
      <c r="H84">
        <v>46001</v>
      </c>
      <c r="I84">
        <v>37</v>
      </c>
      <c r="J84">
        <v>0.16</v>
      </c>
      <c r="K84">
        <v>1.21</v>
      </c>
      <c r="L84">
        <v>6.16</v>
      </c>
      <c r="M84">
        <v>6.22</v>
      </c>
      <c r="N84">
        <v>6.07</v>
      </c>
      <c r="O84">
        <v>6.14</v>
      </c>
      <c r="P84">
        <v>75.14</v>
      </c>
      <c r="Q84">
        <v>28315428</v>
      </c>
      <c r="R84">
        <v>0.59</v>
      </c>
      <c r="S84" t="s">
        <v>140</v>
      </c>
      <c r="T84" t="s">
        <v>120</v>
      </c>
      <c r="U84">
        <v>2.44</v>
      </c>
      <c r="V84">
        <v>6.16</v>
      </c>
      <c r="W84">
        <v>25619</v>
      </c>
      <c r="X84">
        <v>20382</v>
      </c>
      <c r="Y84">
        <v>1.26</v>
      </c>
      <c r="Z84">
        <v>140</v>
      </c>
      <c r="AA84">
        <v>157</v>
      </c>
      <c r="AB84" t="s">
        <v>31</v>
      </c>
    </row>
    <row r="85" spans="1:28">
      <c r="A85" t="str">
        <f>"600106"</f>
        <v>600106</v>
      </c>
      <c r="B85" t="s">
        <v>183</v>
      </c>
      <c r="C85">
        <v>3.93</v>
      </c>
      <c r="D85">
        <v>3.97</v>
      </c>
      <c r="E85">
        <v>0.15</v>
      </c>
      <c r="F85">
        <v>3.97</v>
      </c>
      <c r="G85">
        <v>3.98</v>
      </c>
      <c r="H85">
        <v>179546</v>
      </c>
      <c r="I85">
        <v>1</v>
      </c>
      <c r="J85">
        <v>0.25</v>
      </c>
      <c r="K85">
        <v>1.98</v>
      </c>
      <c r="L85">
        <v>3.83</v>
      </c>
      <c r="M85">
        <v>4.0199999999999996</v>
      </c>
      <c r="N85">
        <v>3.77</v>
      </c>
      <c r="O85">
        <v>3.82</v>
      </c>
      <c r="P85">
        <v>16.23</v>
      </c>
      <c r="Q85">
        <v>70207824</v>
      </c>
      <c r="R85">
        <v>0.7</v>
      </c>
      <c r="S85" t="s">
        <v>51</v>
      </c>
      <c r="T85" t="s">
        <v>184</v>
      </c>
      <c r="U85">
        <v>6.54</v>
      </c>
      <c r="V85">
        <v>3.91</v>
      </c>
      <c r="W85">
        <v>78251</v>
      </c>
      <c r="X85">
        <v>101295</v>
      </c>
      <c r="Y85">
        <v>0.77</v>
      </c>
      <c r="Z85">
        <v>360</v>
      </c>
      <c r="AA85">
        <v>4272</v>
      </c>
      <c r="AB85" t="s">
        <v>31</v>
      </c>
    </row>
    <row r="86" spans="1:28">
      <c r="A86" t="str">
        <f>"600107"</f>
        <v>600107</v>
      </c>
      <c r="B86" t="s">
        <v>185</v>
      </c>
      <c r="C86">
        <v>0.46</v>
      </c>
      <c r="D86">
        <v>6.5</v>
      </c>
      <c r="E86">
        <v>0.03</v>
      </c>
      <c r="F86">
        <v>6.5</v>
      </c>
      <c r="G86">
        <v>6.51</v>
      </c>
      <c r="H86">
        <v>33301</v>
      </c>
      <c r="I86">
        <v>3</v>
      </c>
      <c r="J86">
        <v>0</v>
      </c>
      <c r="K86">
        <v>0.93</v>
      </c>
      <c r="L86">
        <v>6.52</v>
      </c>
      <c r="M86">
        <v>6.55</v>
      </c>
      <c r="N86">
        <v>6.42</v>
      </c>
      <c r="O86">
        <v>6.47</v>
      </c>
      <c r="P86">
        <v>61.88</v>
      </c>
      <c r="Q86">
        <v>21636596</v>
      </c>
      <c r="R86">
        <v>0.68</v>
      </c>
      <c r="S86" t="s">
        <v>158</v>
      </c>
      <c r="T86" t="s">
        <v>37</v>
      </c>
      <c r="U86">
        <v>2.0099999999999998</v>
      </c>
      <c r="V86">
        <v>6.5</v>
      </c>
      <c r="W86">
        <v>17836</v>
      </c>
      <c r="X86">
        <v>15465</v>
      </c>
      <c r="Y86">
        <v>1.1499999999999999</v>
      </c>
      <c r="Z86">
        <v>205</v>
      </c>
      <c r="AA86">
        <v>200</v>
      </c>
      <c r="AB86" t="s">
        <v>31</v>
      </c>
    </row>
    <row r="87" spans="1:28">
      <c r="A87" t="str">
        <f>"600108"</f>
        <v>600108</v>
      </c>
      <c r="B87" t="s">
        <v>186</v>
      </c>
      <c r="C87">
        <v>-1.1499999999999999</v>
      </c>
      <c r="D87">
        <v>9.42</v>
      </c>
      <c r="E87">
        <v>-0.11</v>
      </c>
      <c r="F87">
        <v>9.41</v>
      </c>
      <c r="G87">
        <v>9.42</v>
      </c>
      <c r="H87">
        <v>833540</v>
      </c>
      <c r="I87">
        <v>430</v>
      </c>
      <c r="J87">
        <v>0.21</v>
      </c>
      <c r="K87">
        <v>4.28</v>
      </c>
      <c r="L87">
        <v>9.31</v>
      </c>
      <c r="M87">
        <v>9.6999999999999993</v>
      </c>
      <c r="N87">
        <v>9.25</v>
      </c>
      <c r="O87">
        <v>9.5299999999999994</v>
      </c>
      <c r="P87">
        <v>70.69</v>
      </c>
      <c r="Q87">
        <v>788192896</v>
      </c>
      <c r="R87">
        <v>0.91</v>
      </c>
      <c r="S87" t="s">
        <v>187</v>
      </c>
      <c r="T87" t="s">
        <v>188</v>
      </c>
      <c r="U87">
        <v>4.72</v>
      </c>
      <c r="V87">
        <v>9.4600000000000009</v>
      </c>
      <c r="W87">
        <v>423016</v>
      </c>
      <c r="X87">
        <v>410524</v>
      </c>
      <c r="Y87">
        <v>1.03</v>
      </c>
      <c r="Z87">
        <v>256</v>
      </c>
      <c r="AA87">
        <v>450</v>
      </c>
      <c r="AB87" t="s">
        <v>31</v>
      </c>
    </row>
    <row r="88" spans="1:28">
      <c r="A88" t="str">
        <f>"600109"</f>
        <v>600109</v>
      </c>
      <c r="B88" t="s">
        <v>189</v>
      </c>
      <c r="C88">
        <v>1.38</v>
      </c>
      <c r="D88">
        <v>12.46</v>
      </c>
      <c r="E88">
        <v>0.17</v>
      </c>
      <c r="F88">
        <v>12.45</v>
      </c>
      <c r="G88">
        <v>12.46</v>
      </c>
      <c r="H88">
        <v>59527</v>
      </c>
      <c r="I88">
        <v>8</v>
      </c>
      <c r="J88">
        <v>0.08</v>
      </c>
      <c r="K88">
        <v>0.6</v>
      </c>
      <c r="L88">
        <v>12.32</v>
      </c>
      <c r="M88">
        <v>12.49</v>
      </c>
      <c r="N88">
        <v>12.25</v>
      </c>
      <c r="O88">
        <v>12.29</v>
      </c>
      <c r="P88">
        <v>51.08</v>
      </c>
      <c r="Q88">
        <v>73678568</v>
      </c>
      <c r="R88">
        <v>0.97</v>
      </c>
      <c r="S88" t="s">
        <v>72</v>
      </c>
      <c r="T88" t="s">
        <v>88</v>
      </c>
      <c r="U88">
        <v>1.95</v>
      </c>
      <c r="V88">
        <v>12.38</v>
      </c>
      <c r="W88">
        <v>29682</v>
      </c>
      <c r="X88">
        <v>29845</v>
      </c>
      <c r="Y88">
        <v>0.99</v>
      </c>
      <c r="Z88">
        <v>115</v>
      </c>
      <c r="AA88">
        <v>2</v>
      </c>
      <c r="AB88" t="s">
        <v>31</v>
      </c>
    </row>
    <row r="89" spans="1:28">
      <c r="A89" t="str">
        <f>"600110"</f>
        <v>600110</v>
      </c>
      <c r="B89" t="s">
        <v>190</v>
      </c>
      <c r="C89">
        <v>1.8</v>
      </c>
      <c r="D89">
        <v>5.65</v>
      </c>
      <c r="E89">
        <v>0.1</v>
      </c>
      <c r="F89">
        <v>5.63</v>
      </c>
      <c r="G89">
        <v>5.64</v>
      </c>
      <c r="H89">
        <v>81722</v>
      </c>
      <c r="I89">
        <v>10</v>
      </c>
      <c r="J89">
        <v>0.17</v>
      </c>
      <c r="K89">
        <v>0.71</v>
      </c>
      <c r="L89">
        <v>5.57</v>
      </c>
      <c r="M89">
        <v>5.65</v>
      </c>
      <c r="N89">
        <v>5.52</v>
      </c>
      <c r="O89">
        <v>5.55</v>
      </c>
      <c r="P89">
        <v>818.88</v>
      </c>
      <c r="Q89">
        <v>45832456</v>
      </c>
      <c r="R89">
        <v>0.47</v>
      </c>
      <c r="S89" t="s">
        <v>161</v>
      </c>
      <c r="T89" t="s">
        <v>191</v>
      </c>
      <c r="U89">
        <v>2.34</v>
      </c>
      <c r="V89">
        <v>5.61</v>
      </c>
      <c r="W89">
        <v>39776</v>
      </c>
      <c r="X89">
        <v>41946</v>
      </c>
      <c r="Y89">
        <v>0.95</v>
      </c>
      <c r="Z89">
        <v>2117</v>
      </c>
      <c r="AA89">
        <v>127</v>
      </c>
      <c r="AB89" t="s">
        <v>31</v>
      </c>
    </row>
    <row r="90" spans="1:28">
      <c r="A90" t="str">
        <f>"600111"</f>
        <v>600111</v>
      </c>
      <c r="B90" t="s">
        <v>192</v>
      </c>
      <c r="C90">
        <v>0.56000000000000005</v>
      </c>
      <c r="D90">
        <v>25.13</v>
      </c>
      <c r="E90">
        <v>0.14000000000000001</v>
      </c>
      <c r="F90">
        <v>25.11</v>
      </c>
      <c r="G90">
        <v>25.12</v>
      </c>
      <c r="H90">
        <v>163208</v>
      </c>
      <c r="I90">
        <v>236</v>
      </c>
      <c r="J90">
        <v>0</v>
      </c>
      <c r="K90">
        <v>1.1000000000000001</v>
      </c>
      <c r="L90">
        <v>25</v>
      </c>
      <c r="M90">
        <v>25.42</v>
      </c>
      <c r="N90">
        <v>24.69</v>
      </c>
      <c r="O90">
        <v>24.99</v>
      </c>
      <c r="P90">
        <v>34.479999999999997</v>
      </c>
      <c r="Q90">
        <v>409042368</v>
      </c>
      <c r="R90">
        <v>0.57999999999999996</v>
      </c>
      <c r="S90" t="s">
        <v>193</v>
      </c>
      <c r="T90" t="s">
        <v>47</v>
      </c>
      <c r="U90">
        <v>2.92</v>
      </c>
      <c r="V90">
        <v>25.06</v>
      </c>
      <c r="W90">
        <v>84372</v>
      </c>
      <c r="X90">
        <v>78836</v>
      </c>
      <c r="Y90">
        <v>1.07</v>
      </c>
      <c r="Z90">
        <v>411</v>
      </c>
      <c r="AA90">
        <v>426</v>
      </c>
      <c r="AB90" t="s">
        <v>31</v>
      </c>
    </row>
    <row r="91" spans="1:28">
      <c r="A91" t="str">
        <f>"600112"</f>
        <v>600112</v>
      </c>
      <c r="B91" t="s">
        <v>194</v>
      </c>
      <c r="C91">
        <v>1.51</v>
      </c>
      <c r="D91">
        <v>14.15</v>
      </c>
      <c r="E91">
        <v>0.21</v>
      </c>
      <c r="F91">
        <v>14.16</v>
      </c>
      <c r="G91">
        <v>14.17</v>
      </c>
      <c r="H91">
        <v>75803</v>
      </c>
      <c r="I91">
        <v>65</v>
      </c>
      <c r="J91">
        <v>7.0000000000000007E-2</v>
      </c>
      <c r="K91">
        <v>1.49</v>
      </c>
      <c r="L91">
        <v>13.89</v>
      </c>
      <c r="M91">
        <v>14.28</v>
      </c>
      <c r="N91">
        <v>13.6</v>
      </c>
      <c r="O91">
        <v>13.94</v>
      </c>
      <c r="P91">
        <v>171.61</v>
      </c>
      <c r="Q91">
        <v>105348424</v>
      </c>
      <c r="R91">
        <v>0.7</v>
      </c>
      <c r="S91" t="s">
        <v>161</v>
      </c>
      <c r="T91" t="s">
        <v>195</v>
      </c>
      <c r="U91">
        <v>4.88</v>
      </c>
      <c r="V91">
        <v>13.9</v>
      </c>
      <c r="W91">
        <v>36563</v>
      </c>
      <c r="X91">
        <v>39240</v>
      </c>
      <c r="Y91">
        <v>0.93</v>
      </c>
      <c r="Z91">
        <v>52</v>
      </c>
      <c r="AA91">
        <v>117</v>
      </c>
      <c r="AB91" t="s">
        <v>31</v>
      </c>
    </row>
    <row r="92" spans="1:28">
      <c r="A92" t="str">
        <f>"600113"</f>
        <v>600113</v>
      </c>
      <c r="B92" t="s">
        <v>196</v>
      </c>
      <c r="C92">
        <v>0.7</v>
      </c>
      <c r="D92">
        <v>10.08</v>
      </c>
      <c r="E92">
        <v>7.0000000000000007E-2</v>
      </c>
      <c r="F92">
        <v>10.07</v>
      </c>
      <c r="G92">
        <v>10.08</v>
      </c>
      <c r="H92">
        <v>47165</v>
      </c>
      <c r="I92">
        <v>26</v>
      </c>
      <c r="J92">
        <v>0.19</v>
      </c>
      <c r="K92">
        <v>1.48</v>
      </c>
      <c r="L92">
        <v>10.050000000000001</v>
      </c>
      <c r="M92">
        <v>10.220000000000001</v>
      </c>
      <c r="N92">
        <v>9.86</v>
      </c>
      <c r="O92">
        <v>10.01</v>
      </c>
      <c r="P92">
        <v>125.91</v>
      </c>
      <c r="Q92">
        <v>47312028</v>
      </c>
      <c r="R92">
        <v>0.41</v>
      </c>
      <c r="S92" t="s">
        <v>97</v>
      </c>
      <c r="T92" t="s">
        <v>95</v>
      </c>
      <c r="U92">
        <v>3.6</v>
      </c>
      <c r="V92">
        <v>10.029999999999999</v>
      </c>
      <c r="W92">
        <v>25055</v>
      </c>
      <c r="X92">
        <v>22110</v>
      </c>
      <c r="Y92">
        <v>1.1299999999999999</v>
      </c>
      <c r="Z92">
        <v>400</v>
      </c>
      <c r="AA92">
        <v>30</v>
      </c>
      <c r="AB92" t="s">
        <v>31</v>
      </c>
    </row>
    <row r="93" spans="1:28">
      <c r="A93" t="str">
        <f>"600114"</f>
        <v>600114</v>
      </c>
      <c r="B93" t="s">
        <v>197</v>
      </c>
      <c r="C93">
        <v>3.11</v>
      </c>
      <c r="D93">
        <v>11.95</v>
      </c>
      <c r="E93">
        <v>0.36</v>
      </c>
      <c r="F93">
        <v>11.95</v>
      </c>
      <c r="G93">
        <v>11.96</v>
      </c>
      <c r="H93">
        <v>23615</v>
      </c>
      <c r="I93">
        <v>10</v>
      </c>
      <c r="J93">
        <v>0.08</v>
      </c>
      <c r="K93">
        <v>2.19</v>
      </c>
      <c r="L93">
        <v>11.67</v>
      </c>
      <c r="M93">
        <v>11.96</v>
      </c>
      <c r="N93">
        <v>11.4</v>
      </c>
      <c r="O93">
        <v>11.59</v>
      </c>
      <c r="P93">
        <v>35.270000000000003</v>
      </c>
      <c r="Q93">
        <v>27761380</v>
      </c>
      <c r="R93">
        <v>0.89</v>
      </c>
      <c r="S93" t="s">
        <v>198</v>
      </c>
      <c r="T93" t="s">
        <v>95</v>
      </c>
      <c r="U93">
        <v>4.83</v>
      </c>
      <c r="V93">
        <v>11.76</v>
      </c>
      <c r="W93">
        <v>11593</v>
      </c>
      <c r="X93">
        <v>12022</v>
      </c>
      <c r="Y93">
        <v>0.96</v>
      </c>
      <c r="Z93">
        <v>357</v>
      </c>
      <c r="AA93">
        <v>132</v>
      </c>
      <c r="AB93" t="s">
        <v>31</v>
      </c>
    </row>
    <row r="94" spans="1:28">
      <c r="A94" t="str">
        <f>"600115"</f>
        <v>600115</v>
      </c>
      <c r="B94" t="s">
        <v>199</v>
      </c>
      <c r="C94">
        <v>2.86</v>
      </c>
      <c r="D94">
        <v>2.88</v>
      </c>
      <c r="E94">
        <v>0.08</v>
      </c>
      <c r="F94">
        <v>2.86</v>
      </c>
      <c r="G94">
        <v>2.87</v>
      </c>
      <c r="H94">
        <v>273366</v>
      </c>
      <c r="I94">
        <v>4</v>
      </c>
      <c r="J94">
        <v>0.34</v>
      </c>
      <c r="K94">
        <v>0.35</v>
      </c>
      <c r="L94">
        <v>2.82</v>
      </c>
      <c r="M94">
        <v>2.89</v>
      </c>
      <c r="N94">
        <v>2.81</v>
      </c>
      <c r="O94">
        <v>2.8</v>
      </c>
      <c r="P94">
        <v>23.91</v>
      </c>
      <c r="Q94">
        <v>77803416</v>
      </c>
      <c r="R94">
        <v>1.45</v>
      </c>
      <c r="S94" t="s">
        <v>70</v>
      </c>
      <c r="T94" t="s">
        <v>30</v>
      </c>
      <c r="U94">
        <v>2.86</v>
      </c>
      <c r="V94">
        <v>2.85</v>
      </c>
      <c r="W94">
        <v>134075</v>
      </c>
      <c r="X94">
        <v>139291</v>
      </c>
      <c r="Y94">
        <v>0.96</v>
      </c>
      <c r="Z94">
        <v>4644</v>
      </c>
      <c r="AA94">
        <v>145</v>
      </c>
      <c r="AB94" t="s">
        <v>31</v>
      </c>
    </row>
    <row r="95" spans="1:28">
      <c r="A95" t="str">
        <f>"600116"</f>
        <v>600116</v>
      </c>
      <c r="B95" t="s">
        <v>200</v>
      </c>
      <c r="C95">
        <v>1.84</v>
      </c>
      <c r="D95">
        <v>9.94</v>
      </c>
      <c r="E95">
        <v>0.18</v>
      </c>
      <c r="F95">
        <v>9.93</v>
      </c>
      <c r="G95">
        <v>9.94</v>
      </c>
      <c r="H95">
        <v>49360</v>
      </c>
      <c r="I95">
        <v>10</v>
      </c>
      <c r="J95">
        <v>-0.1</v>
      </c>
      <c r="K95">
        <v>1.85</v>
      </c>
      <c r="L95">
        <v>9.76</v>
      </c>
      <c r="M95">
        <v>10.050000000000001</v>
      </c>
      <c r="N95">
        <v>9.7100000000000009</v>
      </c>
      <c r="O95">
        <v>9.76</v>
      </c>
      <c r="P95">
        <v>21.82</v>
      </c>
      <c r="Q95">
        <v>49025936</v>
      </c>
      <c r="R95">
        <v>0.64</v>
      </c>
      <c r="S95" t="s">
        <v>179</v>
      </c>
      <c r="T95" t="s">
        <v>184</v>
      </c>
      <c r="U95">
        <v>3.48</v>
      </c>
      <c r="V95">
        <v>9.93</v>
      </c>
      <c r="W95">
        <v>24472</v>
      </c>
      <c r="X95">
        <v>24888</v>
      </c>
      <c r="Y95">
        <v>0.98</v>
      </c>
      <c r="Z95">
        <v>30</v>
      </c>
      <c r="AA95">
        <v>126</v>
      </c>
      <c r="AB95" t="s">
        <v>31</v>
      </c>
    </row>
    <row r="96" spans="1:28">
      <c r="A96" t="str">
        <f>"600117"</f>
        <v>600117</v>
      </c>
      <c r="B96" t="s">
        <v>201</v>
      </c>
      <c r="C96">
        <v>3.08</v>
      </c>
      <c r="D96">
        <v>4.0199999999999996</v>
      </c>
      <c r="E96">
        <v>0.12</v>
      </c>
      <c r="F96">
        <v>4.01</v>
      </c>
      <c r="G96">
        <v>4.0199999999999996</v>
      </c>
      <c r="H96">
        <v>56226</v>
      </c>
      <c r="I96">
        <v>8</v>
      </c>
      <c r="J96">
        <v>0</v>
      </c>
      <c r="K96">
        <v>0.76</v>
      </c>
      <c r="L96">
        <v>3.91</v>
      </c>
      <c r="M96">
        <v>4.13</v>
      </c>
      <c r="N96">
        <v>3.88</v>
      </c>
      <c r="O96">
        <v>3.9</v>
      </c>
      <c r="P96">
        <v>94.52</v>
      </c>
      <c r="Q96">
        <v>22544596</v>
      </c>
      <c r="R96">
        <v>1.25</v>
      </c>
      <c r="S96" t="s">
        <v>202</v>
      </c>
      <c r="T96" t="s">
        <v>203</v>
      </c>
      <c r="U96">
        <v>6.41</v>
      </c>
      <c r="V96">
        <v>4.01</v>
      </c>
      <c r="W96">
        <v>22472</v>
      </c>
      <c r="X96">
        <v>33754</v>
      </c>
      <c r="Y96">
        <v>0.67</v>
      </c>
      <c r="Z96">
        <v>616</v>
      </c>
      <c r="AA96">
        <v>1035</v>
      </c>
      <c r="AB96" t="s">
        <v>31</v>
      </c>
    </row>
    <row r="97" spans="1:28">
      <c r="A97" t="str">
        <f>"600118"</f>
        <v>600118</v>
      </c>
      <c r="B97" t="s">
        <v>204</v>
      </c>
      <c r="C97">
        <v>3.95</v>
      </c>
      <c r="D97">
        <v>14.99</v>
      </c>
      <c r="E97">
        <v>0.56999999999999995</v>
      </c>
      <c r="F97">
        <v>14.99</v>
      </c>
      <c r="G97">
        <v>15</v>
      </c>
      <c r="H97">
        <v>172225</v>
      </c>
      <c r="I97">
        <v>124</v>
      </c>
      <c r="J97">
        <v>-0.13</v>
      </c>
      <c r="K97">
        <v>1.46</v>
      </c>
      <c r="L97">
        <v>14.49</v>
      </c>
      <c r="M97">
        <v>15.06</v>
      </c>
      <c r="N97">
        <v>14.35</v>
      </c>
      <c r="O97">
        <v>14.42</v>
      </c>
      <c r="P97">
        <v>60.46</v>
      </c>
      <c r="Q97">
        <v>254547856</v>
      </c>
      <c r="R97">
        <v>1.36</v>
      </c>
      <c r="S97" t="s">
        <v>84</v>
      </c>
      <c r="T97" t="s">
        <v>42</v>
      </c>
      <c r="U97">
        <v>4.92</v>
      </c>
      <c r="V97">
        <v>14.78</v>
      </c>
      <c r="W97">
        <v>77774</v>
      </c>
      <c r="X97">
        <v>94451</v>
      </c>
      <c r="Y97">
        <v>0.82</v>
      </c>
      <c r="Z97">
        <v>278</v>
      </c>
      <c r="AA97">
        <v>565</v>
      </c>
      <c r="AB97" t="s">
        <v>31</v>
      </c>
    </row>
    <row r="98" spans="1:28">
      <c r="A98" t="str">
        <f>"600119"</f>
        <v>600119</v>
      </c>
      <c r="B98" t="s">
        <v>205</v>
      </c>
      <c r="C98">
        <v>1.02</v>
      </c>
      <c r="D98">
        <v>18.88</v>
      </c>
      <c r="E98">
        <v>0.19</v>
      </c>
      <c r="F98">
        <v>18.89</v>
      </c>
      <c r="G98">
        <v>18.899999999999999</v>
      </c>
      <c r="H98">
        <v>69787</v>
      </c>
      <c r="I98">
        <v>8</v>
      </c>
      <c r="J98">
        <v>-0.21</v>
      </c>
      <c r="K98">
        <v>2.27</v>
      </c>
      <c r="L98">
        <v>18.41</v>
      </c>
      <c r="M98">
        <v>19.190000000000001</v>
      </c>
      <c r="N98">
        <v>18.41</v>
      </c>
      <c r="O98">
        <v>18.690000000000001</v>
      </c>
      <c r="P98">
        <v>124.17</v>
      </c>
      <c r="Q98">
        <v>131908528</v>
      </c>
      <c r="R98">
        <v>0.6</v>
      </c>
      <c r="S98" t="s">
        <v>107</v>
      </c>
      <c r="T98" t="s">
        <v>30</v>
      </c>
      <c r="U98">
        <v>4.17</v>
      </c>
      <c r="V98">
        <v>18.899999999999999</v>
      </c>
      <c r="W98">
        <v>36488</v>
      </c>
      <c r="X98">
        <v>33299</v>
      </c>
      <c r="Y98">
        <v>1.1000000000000001</v>
      </c>
      <c r="Z98">
        <v>50</v>
      </c>
      <c r="AA98">
        <v>40</v>
      </c>
      <c r="AB98" t="s">
        <v>31</v>
      </c>
    </row>
    <row r="99" spans="1:28">
      <c r="A99" t="str">
        <f>"600120"</f>
        <v>600120</v>
      </c>
      <c r="B99" t="s">
        <v>206</v>
      </c>
      <c r="C99">
        <v>1.33</v>
      </c>
      <c r="D99">
        <v>12.95</v>
      </c>
      <c r="E99">
        <v>0.17</v>
      </c>
      <c r="F99">
        <v>12.99</v>
      </c>
      <c r="G99">
        <v>13</v>
      </c>
      <c r="H99">
        <v>42360</v>
      </c>
      <c r="I99">
        <v>6</v>
      </c>
      <c r="J99">
        <v>0.54</v>
      </c>
      <c r="K99">
        <v>0.84</v>
      </c>
      <c r="L99">
        <v>12.84</v>
      </c>
      <c r="M99">
        <v>13.09</v>
      </c>
      <c r="N99">
        <v>12.61</v>
      </c>
      <c r="O99">
        <v>12.78</v>
      </c>
      <c r="P99">
        <v>12.18</v>
      </c>
      <c r="Q99">
        <v>54336736</v>
      </c>
      <c r="R99">
        <v>0.69</v>
      </c>
      <c r="S99" t="s">
        <v>109</v>
      </c>
      <c r="T99" t="s">
        <v>95</v>
      </c>
      <c r="U99">
        <v>3.76</v>
      </c>
      <c r="V99">
        <v>12.83</v>
      </c>
      <c r="W99">
        <v>18071</v>
      </c>
      <c r="X99">
        <v>24289</v>
      </c>
      <c r="Y99">
        <v>0.74</v>
      </c>
      <c r="Z99">
        <v>102</v>
      </c>
      <c r="AA99">
        <v>428</v>
      </c>
      <c r="AB99" t="s">
        <v>31</v>
      </c>
    </row>
    <row r="100" spans="1:28">
      <c r="A100" t="str">
        <f>"600121"</f>
        <v>600121</v>
      </c>
      <c r="B100" t="s">
        <v>207</v>
      </c>
      <c r="C100">
        <v>2.93</v>
      </c>
      <c r="D100">
        <v>5.63</v>
      </c>
      <c r="E100">
        <v>0.16</v>
      </c>
      <c r="F100">
        <v>5.63</v>
      </c>
      <c r="G100">
        <v>5.64</v>
      </c>
      <c r="H100">
        <v>43137</v>
      </c>
      <c r="I100">
        <v>36</v>
      </c>
      <c r="J100">
        <v>-0.17</v>
      </c>
      <c r="K100">
        <v>0.69</v>
      </c>
      <c r="L100">
        <v>5.47</v>
      </c>
      <c r="M100">
        <v>5.72</v>
      </c>
      <c r="N100">
        <v>5.41</v>
      </c>
      <c r="O100">
        <v>5.47</v>
      </c>
      <c r="P100">
        <v>86.01</v>
      </c>
      <c r="Q100">
        <v>24126288</v>
      </c>
      <c r="R100">
        <v>0.6</v>
      </c>
      <c r="S100" t="s">
        <v>208</v>
      </c>
      <c r="T100" t="s">
        <v>61</v>
      </c>
      <c r="U100">
        <v>5.67</v>
      </c>
      <c r="V100">
        <v>5.59</v>
      </c>
      <c r="W100">
        <v>20687</v>
      </c>
      <c r="X100">
        <v>22450</v>
      </c>
      <c r="Y100">
        <v>0.92</v>
      </c>
      <c r="Z100">
        <v>126</v>
      </c>
      <c r="AA100">
        <v>483</v>
      </c>
      <c r="AB100" t="s">
        <v>31</v>
      </c>
    </row>
    <row r="101" spans="1:28">
      <c r="A101" t="str">
        <f>"600122"</f>
        <v>600122</v>
      </c>
      <c r="B101" t="s">
        <v>209</v>
      </c>
      <c r="C101">
        <v>0.72</v>
      </c>
      <c r="D101">
        <v>4.22</v>
      </c>
      <c r="E101">
        <v>0.03</v>
      </c>
      <c r="F101">
        <v>4.21</v>
      </c>
      <c r="G101">
        <v>4.22</v>
      </c>
      <c r="H101">
        <v>188231</v>
      </c>
      <c r="I101">
        <v>888</v>
      </c>
      <c r="J101">
        <v>0.23</v>
      </c>
      <c r="K101">
        <v>1.66</v>
      </c>
      <c r="L101">
        <v>4.1900000000000004</v>
      </c>
      <c r="M101">
        <v>4.24</v>
      </c>
      <c r="N101">
        <v>4.12</v>
      </c>
      <c r="O101">
        <v>4.1900000000000004</v>
      </c>
      <c r="P101">
        <v>21.6</v>
      </c>
      <c r="Q101">
        <v>78696656</v>
      </c>
      <c r="R101">
        <v>0.83</v>
      </c>
      <c r="S101" t="s">
        <v>210</v>
      </c>
      <c r="T101" t="s">
        <v>120</v>
      </c>
      <c r="U101">
        <v>2.86</v>
      </c>
      <c r="V101">
        <v>4.18</v>
      </c>
      <c r="W101">
        <v>117122</v>
      </c>
      <c r="X101">
        <v>71109</v>
      </c>
      <c r="Y101">
        <v>1.65</v>
      </c>
      <c r="Z101">
        <v>3692</v>
      </c>
      <c r="AA101">
        <v>459</v>
      </c>
      <c r="AB101" t="s">
        <v>31</v>
      </c>
    </row>
    <row r="102" spans="1:28">
      <c r="A102" t="str">
        <f>"600123"</f>
        <v>600123</v>
      </c>
      <c r="B102" t="s">
        <v>211</v>
      </c>
      <c r="C102">
        <v>1.49</v>
      </c>
      <c r="D102">
        <v>12.23</v>
      </c>
      <c r="E102">
        <v>0.18</v>
      </c>
      <c r="F102">
        <v>12.23</v>
      </c>
      <c r="G102">
        <v>12.24</v>
      </c>
      <c r="H102">
        <v>97498</v>
      </c>
      <c r="I102">
        <v>163</v>
      </c>
      <c r="J102">
        <v>0.24</v>
      </c>
      <c r="K102">
        <v>0.85</v>
      </c>
      <c r="L102">
        <v>12.03</v>
      </c>
      <c r="M102">
        <v>12.24</v>
      </c>
      <c r="N102">
        <v>11.85</v>
      </c>
      <c r="O102">
        <v>12.05</v>
      </c>
      <c r="P102">
        <v>12.64</v>
      </c>
      <c r="Q102">
        <v>118289144</v>
      </c>
      <c r="R102">
        <v>0.52</v>
      </c>
      <c r="S102" t="s">
        <v>208</v>
      </c>
      <c r="T102" t="s">
        <v>212</v>
      </c>
      <c r="U102">
        <v>3.24</v>
      </c>
      <c r="V102">
        <v>12.13</v>
      </c>
      <c r="W102">
        <v>52256</v>
      </c>
      <c r="X102">
        <v>45242</v>
      </c>
      <c r="Y102">
        <v>1.1599999999999999</v>
      </c>
      <c r="Z102">
        <v>37</v>
      </c>
      <c r="AA102">
        <v>128</v>
      </c>
      <c r="AB102" t="s">
        <v>31</v>
      </c>
    </row>
    <row r="103" spans="1:28">
      <c r="A103" t="str">
        <f>"600125"</f>
        <v>600125</v>
      </c>
      <c r="B103" t="s">
        <v>213</v>
      </c>
      <c r="C103">
        <v>2.42</v>
      </c>
      <c r="D103">
        <v>5.93</v>
      </c>
      <c r="E103">
        <v>0.14000000000000001</v>
      </c>
      <c r="F103">
        <v>5.92</v>
      </c>
      <c r="G103">
        <v>5.93</v>
      </c>
      <c r="H103">
        <v>145319</v>
      </c>
      <c r="I103">
        <v>1</v>
      </c>
      <c r="J103">
        <v>0.33</v>
      </c>
      <c r="K103">
        <v>1.1100000000000001</v>
      </c>
      <c r="L103">
        <v>5.79</v>
      </c>
      <c r="M103">
        <v>5.96</v>
      </c>
      <c r="N103">
        <v>5.77</v>
      </c>
      <c r="O103">
        <v>5.79</v>
      </c>
      <c r="P103">
        <v>17.239999999999998</v>
      </c>
      <c r="Q103">
        <v>85419752</v>
      </c>
      <c r="R103">
        <v>0.79</v>
      </c>
      <c r="S103" t="s">
        <v>214</v>
      </c>
      <c r="T103" t="s">
        <v>142</v>
      </c>
      <c r="U103">
        <v>3.28</v>
      </c>
      <c r="V103">
        <v>5.88</v>
      </c>
      <c r="W103">
        <v>81361</v>
      </c>
      <c r="X103">
        <v>63958</v>
      </c>
      <c r="Y103">
        <v>1.27</v>
      </c>
      <c r="Z103">
        <v>705</v>
      </c>
      <c r="AA103">
        <v>495</v>
      </c>
      <c r="AB103" t="s">
        <v>31</v>
      </c>
    </row>
    <row r="104" spans="1:28">
      <c r="A104" t="str">
        <f>"600126"</f>
        <v>600126</v>
      </c>
      <c r="B104" t="s">
        <v>215</v>
      </c>
      <c r="C104">
        <v>1.62</v>
      </c>
      <c r="D104">
        <v>3.77</v>
      </c>
      <c r="E104">
        <v>0.06</v>
      </c>
      <c r="F104">
        <v>3.76</v>
      </c>
      <c r="G104">
        <v>3.77</v>
      </c>
      <c r="H104">
        <v>101933</v>
      </c>
      <c r="I104">
        <v>3</v>
      </c>
      <c r="J104">
        <v>0.53</v>
      </c>
      <c r="K104">
        <v>1.22</v>
      </c>
      <c r="L104">
        <v>3.7</v>
      </c>
      <c r="M104">
        <v>3.82</v>
      </c>
      <c r="N104">
        <v>3.65</v>
      </c>
      <c r="O104">
        <v>3.71</v>
      </c>
      <c r="P104" t="s">
        <v>31</v>
      </c>
      <c r="Q104">
        <v>38415040</v>
      </c>
      <c r="R104">
        <v>0.67</v>
      </c>
      <c r="S104" t="s">
        <v>36</v>
      </c>
      <c r="T104" t="s">
        <v>95</v>
      </c>
      <c r="U104">
        <v>4.58</v>
      </c>
      <c r="V104">
        <v>3.77</v>
      </c>
      <c r="W104">
        <v>45630</v>
      </c>
      <c r="X104">
        <v>56303</v>
      </c>
      <c r="Y104">
        <v>0.81</v>
      </c>
      <c r="Z104">
        <v>110</v>
      </c>
      <c r="AA104">
        <v>1311</v>
      </c>
      <c r="AB104" t="s">
        <v>31</v>
      </c>
    </row>
    <row r="105" spans="1:28">
      <c r="A105" t="str">
        <f>"600127"</f>
        <v>600127</v>
      </c>
      <c r="B105" t="s">
        <v>216</v>
      </c>
      <c r="C105">
        <v>0.9</v>
      </c>
      <c r="D105">
        <v>4.4800000000000004</v>
      </c>
      <c r="E105">
        <v>0.04</v>
      </c>
      <c r="F105">
        <v>4.4800000000000004</v>
      </c>
      <c r="G105">
        <v>4.49</v>
      </c>
      <c r="H105">
        <v>50160</v>
      </c>
      <c r="I105">
        <v>15</v>
      </c>
      <c r="J105">
        <v>0.22</v>
      </c>
      <c r="K105">
        <v>0.92</v>
      </c>
      <c r="L105">
        <v>4.4400000000000004</v>
      </c>
      <c r="M105">
        <v>4.49</v>
      </c>
      <c r="N105">
        <v>4.41</v>
      </c>
      <c r="O105">
        <v>4.4400000000000004</v>
      </c>
      <c r="P105">
        <v>49.15</v>
      </c>
      <c r="Q105">
        <v>22312258</v>
      </c>
      <c r="R105">
        <v>0.66</v>
      </c>
      <c r="S105" t="s">
        <v>187</v>
      </c>
      <c r="T105" t="s">
        <v>76</v>
      </c>
      <c r="U105">
        <v>1.8</v>
      </c>
      <c r="V105">
        <v>4.45</v>
      </c>
      <c r="W105">
        <v>25920</v>
      </c>
      <c r="X105">
        <v>24240</v>
      </c>
      <c r="Y105">
        <v>1.07</v>
      </c>
      <c r="Z105">
        <v>2334</v>
      </c>
      <c r="AA105">
        <v>1352</v>
      </c>
      <c r="AB105" t="s">
        <v>31</v>
      </c>
    </row>
    <row r="106" spans="1:28">
      <c r="A106" t="str">
        <f>"600128"</f>
        <v>600128</v>
      </c>
      <c r="B106" t="s">
        <v>217</v>
      </c>
      <c r="C106">
        <v>2.12</v>
      </c>
      <c r="D106">
        <v>8.18</v>
      </c>
      <c r="E106">
        <v>0.17</v>
      </c>
      <c r="F106">
        <v>8.17</v>
      </c>
      <c r="G106">
        <v>8.18</v>
      </c>
      <c r="H106">
        <v>18542</v>
      </c>
      <c r="I106">
        <v>1</v>
      </c>
      <c r="J106">
        <v>-0.24</v>
      </c>
      <c r="K106">
        <v>0.75</v>
      </c>
      <c r="L106">
        <v>8.02</v>
      </c>
      <c r="M106">
        <v>8.2799999999999994</v>
      </c>
      <c r="N106">
        <v>7.98</v>
      </c>
      <c r="O106">
        <v>8.01</v>
      </c>
      <c r="P106">
        <v>47.35</v>
      </c>
      <c r="Q106">
        <v>15073353</v>
      </c>
      <c r="R106">
        <v>0.76</v>
      </c>
      <c r="S106" t="s">
        <v>109</v>
      </c>
      <c r="T106" t="s">
        <v>120</v>
      </c>
      <c r="U106">
        <v>3.75</v>
      </c>
      <c r="V106">
        <v>8.1300000000000008</v>
      </c>
      <c r="W106">
        <v>7451</v>
      </c>
      <c r="X106">
        <v>11091</v>
      </c>
      <c r="Y106">
        <v>0.67</v>
      </c>
      <c r="Z106">
        <v>159</v>
      </c>
      <c r="AA106">
        <v>32</v>
      </c>
      <c r="AB106" t="s">
        <v>31</v>
      </c>
    </row>
    <row r="107" spans="1:28">
      <c r="A107" t="str">
        <f>"600129"</f>
        <v>600129</v>
      </c>
      <c r="B107" t="s">
        <v>218</v>
      </c>
      <c r="C107">
        <v>1.58</v>
      </c>
      <c r="D107">
        <v>8.3699999999999992</v>
      </c>
      <c r="E107">
        <v>0.13</v>
      </c>
      <c r="F107">
        <v>8.3699999999999992</v>
      </c>
      <c r="G107">
        <v>8.3800000000000008</v>
      </c>
      <c r="H107">
        <v>21584</v>
      </c>
      <c r="I107">
        <v>50</v>
      </c>
      <c r="J107">
        <v>0.23</v>
      </c>
      <c r="K107">
        <v>0.51</v>
      </c>
      <c r="L107">
        <v>8.1999999999999993</v>
      </c>
      <c r="M107">
        <v>8.3800000000000008</v>
      </c>
      <c r="N107">
        <v>8.16</v>
      </c>
      <c r="O107">
        <v>8.24</v>
      </c>
      <c r="P107">
        <v>84.93</v>
      </c>
      <c r="Q107">
        <v>17856404</v>
      </c>
      <c r="R107">
        <v>0.55000000000000004</v>
      </c>
      <c r="S107" t="s">
        <v>156</v>
      </c>
      <c r="T107" t="s">
        <v>184</v>
      </c>
      <c r="U107">
        <v>2.67</v>
      </c>
      <c r="V107">
        <v>8.27</v>
      </c>
      <c r="W107">
        <v>10469</v>
      </c>
      <c r="X107">
        <v>11115</v>
      </c>
      <c r="Y107">
        <v>0.94</v>
      </c>
      <c r="Z107">
        <v>39</v>
      </c>
      <c r="AA107">
        <v>64</v>
      </c>
      <c r="AB107" t="s">
        <v>31</v>
      </c>
    </row>
    <row r="108" spans="1:28">
      <c r="A108" t="str">
        <f>"600130"</f>
        <v>600130</v>
      </c>
      <c r="B108" t="s">
        <v>219</v>
      </c>
      <c r="C108">
        <v>-0.55000000000000004</v>
      </c>
      <c r="D108">
        <v>3.61</v>
      </c>
      <c r="E108">
        <v>-0.02</v>
      </c>
      <c r="F108">
        <v>3.62</v>
      </c>
      <c r="G108">
        <v>3.63</v>
      </c>
      <c r="H108">
        <v>339160</v>
      </c>
      <c r="I108">
        <v>428</v>
      </c>
      <c r="J108">
        <v>-0.27</v>
      </c>
      <c r="K108">
        <v>4.42</v>
      </c>
      <c r="L108">
        <v>3.5</v>
      </c>
      <c r="M108">
        <v>3.71</v>
      </c>
      <c r="N108">
        <v>3.45</v>
      </c>
      <c r="O108">
        <v>3.63</v>
      </c>
      <c r="P108">
        <v>54.28</v>
      </c>
      <c r="Q108">
        <v>121709448</v>
      </c>
      <c r="R108">
        <v>1.39</v>
      </c>
      <c r="S108" t="s">
        <v>140</v>
      </c>
      <c r="T108" t="s">
        <v>95</v>
      </c>
      <c r="U108">
        <v>7.16</v>
      </c>
      <c r="V108">
        <v>3.59</v>
      </c>
      <c r="W108">
        <v>160932</v>
      </c>
      <c r="X108">
        <v>178228</v>
      </c>
      <c r="Y108">
        <v>0.9</v>
      </c>
      <c r="Z108">
        <v>334</v>
      </c>
      <c r="AA108">
        <v>1870</v>
      </c>
      <c r="AB108" t="s">
        <v>31</v>
      </c>
    </row>
    <row r="109" spans="1:28">
      <c r="A109" t="str">
        <f>"600131"</f>
        <v>600131</v>
      </c>
      <c r="B109" t="s">
        <v>220</v>
      </c>
      <c r="C109">
        <v>2.54</v>
      </c>
      <c r="D109">
        <v>4.8499999999999996</v>
      </c>
      <c r="E109">
        <v>0.12</v>
      </c>
      <c r="F109">
        <v>4.84</v>
      </c>
      <c r="G109">
        <v>4.8499999999999996</v>
      </c>
      <c r="H109">
        <v>178986</v>
      </c>
      <c r="I109">
        <v>397</v>
      </c>
      <c r="J109">
        <v>0</v>
      </c>
      <c r="K109">
        <v>4.5</v>
      </c>
      <c r="L109">
        <v>4.6900000000000004</v>
      </c>
      <c r="M109">
        <v>4.8899999999999997</v>
      </c>
      <c r="N109">
        <v>4.6500000000000004</v>
      </c>
      <c r="O109">
        <v>4.7300000000000004</v>
      </c>
      <c r="P109" t="s">
        <v>31</v>
      </c>
      <c r="Q109">
        <v>86523432</v>
      </c>
      <c r="R109">
        <v>2.29</v>
      </c>
      <c r="S109" t="s">
        <v>179</v>
      </c>
      <c r="T109" t="s">
        <v>88</v>
      </c>
      <c r="U109">
        <v>5.07</v>
      </c>
      <c r="V109">
        <v>4.83</v>
      </c>
      <c r="W109">
        <v>75078</v>
      </c>
      <c r="X109">
        <v>103908</v>
      </c>
      <c r="Y109">
        <v>0.72</v>
      </c>
      <c r="Z109">
        <v>722</v>
      </c>
      <c r="AA109">
        <v>3</v>
      </c>
      <c r="AB109" t="s">
        <v>31</v>
      </c>
    </row>
    <row r="110" spans="1:28">
      <c r="A110" t="str">
        <f>"600132"</f>
        <v>600132</v>
      </c>
      <c r="B110" t="s">
        <v>221</v>
      </c>
      <c r="C110">
        <v>2.5</v>
      </c>
      <c r="D110">
        <v>17.190000000000001</v>
      </c>
      <c r="E110">
        <v>0.42</v>
      </c>
      <c r="F110">
        <v>17.18</v>
      </c>
      <c r="G110">
        <v>17.190000000000001</v>
      </c>
      <c r="H110">
        <v>46972</v>
      </c>
      <c r="I110">
        <v>30</v>
      </c>
      <c r="J110">
        <v>0.11</v>
      </c>
      <c r="K110">
        <v>0.97</v>
      </c>
      <c r="L110">
        <v>16.77</v>
      </c>
      <c r="M110">
        <v>17.21</v>
      </c>
      <c r="N110">
        <v>16.72</v>
      </c>
      <c r="O110">
        <v>16.77</v>
      </c>
      <c r="P110">
        <v>28.54</v>
      </c>
      <c r="Q110">
        <v>79766296</v>
      </c>
      <c r="R110">
        <v>1.06</v>
      </c>
      <c r="S110" t="s">
        <v>163</v>
      </c>
      <c r="T110" t="s">
        <v>184</v>
      </c>
      <c r="U110">
        <v>2.92</v>
      </c>
      <c r="V110">
        <v>16.98</v>
      </c>
      <c r="W110">
        <v>19529</v>
      </c>
      <c r="X110">
        <v>27443</v>
      </c>
      <c r="Y110">
        <v>0.71</v>
      </c>
      <c r="Z110">
        <v>8</v>
      </c>
      <c r="AA110">
        <v>31</v>
      </c>
      <c r="AB110" t="s">
        <v>31</v>
      </c>
    </row>
    <row r="111" spans="1:28">
      <c r="A111" t="str">
        <f>"600133"</f>
        <v>600133</v>
      </c>
      <c r="B111" t="s">
        <v>222</v>
      </c>
      <c r="C111">
        <v>0.18</v>
      </c>
      <c r="D111">
        <v>5.72</v>
      </c>
      <c r="E111">
        <v>0.01</v>
      </c>
      <c r="F111">
        <v>5.72</v>
      </c>
      <c r="G111">
        <v>5.73</v>
      </c>
      <c r="H111">
        <v>97534</v>
      </c>
      <c r="I111">
        <v>29</v>
      </c>
      <c r="J111">
        <v>-0.17</v>
      </c>
      <c r="K111">
        <v>2.29</v>
      </c>
      <c r="L111">
        <v>5.6</v>
      </c>
      <c r="M111">
        <v>5.77</v>
      </c>
      <c r="N111">
        <v>5.51</v>
      </c>
      <c r="O111">
        <v>5.71</v>
      </c>
      <c r="P111" t="s">
        <v>31</v>
      </c>
      <c r="Q111">
        <v>54900460</v>
      </c>
      <c r="R111">
        <v>0.45</v>
      </c>
      <c r="S111" t="s">
        <v>41</v>
      </c>
      <c r="T111" t="s">
        <v>37</v>
      </c>
      <c r="U111">
        <v>4.55</v>
      </c>
      <c r="V111">
        <v>5.63</v>
      </c>
      <c r="W111">
        <v>51531</v>
      </c>
      <c r="X111">
        <v>46003</v>
      </c>
      <c r="Y111">
        <v>1.1200000000000001</v>
      </c>
      <c r="Z111">
        <v>90</v>
      </c>
      <c r="AA111">
        <v>217</v>
      </c>
      <c r="AB111" t="s">
        <v>31</v>
      </c>
    </row>
    <row r="112" spans="1:28">
      <c r="A112" t="str">
        <f>"600135"</f>
        <v>600135</v>
      </c>
      <c r="B112" t="s">
        <v>223</v>
      </c>
      <c r="C112">
        <v>1.91</v>
      </c>
      <c r="D112">
        <v>8.01</v>
      </c>
      <c r="E112">
        <v>0.15</v>
      </c>
      <c r="F112">
        <v>8</v>
      </c>
      <c r="G112">
        <v>8.0299999999999994</v>
      </c>
      <c r="H112">
        <v>30056</v>
      </c>
      <c r="I112">
        <v>15</v>
      </c>
      <c r="J112">
        <v>0.12</v>
      </c>
      <c r="K112">
        <v>0.88</v>
      </c>
      <c r="L112">
        <v>7.94</v>
      </c>
      <c r="M112">
        <v>8.0299999999999994</v>
      </c>
      <c r="N112">
        <v>7.79</v>
      </c>
      <c r="O112">
        <v>7.86</v>
      </c>
      <c r="P112">
        <v>59.68</v>
      </c>
      <c r="Q112">
        <v>23938526</v>
      </c>
      <c r="R112">
        <v>0.41</v>
      </c>
      <c r="S112" t="s">
        <v>137</v>
      </c>
      <c r="T112" t="s">
        <v>224</v>
      </c>
      <c r="U112">
        <v>3.05</v>
      </c>
      <c r="V112">
        <v>7.96</v>
      </c>
      <c r="W112">
        <v>15581</v>
      </c>
      <c r="X112">
        <v>14475</v>
      </c>
      <c r="Y112">
        <v>1.08</v>
      </c>
      <c r="Z112">
        <v>17</v>
      </c>
      <c r="AA112">
        <v>207</v>
      </c>
      <c r="AB112" t="s">
        <v>31</v>
      </c>
    </row>
    <row r="113" spans="1:28">
      <c r="A113" t="str">
        <f>"600136"</f>
        <v>600136</v>
      </c>
      <c r="B113" t="s">
        <v>225</v>
      </c>
      <c r="C113">
        <v>4.84</v>
      </c>
      <c r="D113">
        <v>11.04</v>
      </c>
      <c r="E113">
        <v>0.51</v>
      </c>
      <c r="F113">
        <v>11</v>
      </c>
      <c r="G113">
        <v>11.01</v>
      </c>
      <c r="H113">
        <v>11144</v>
      </c>
      <c r="I113">
        <v>40</v>
      </c>
      <c r="J113">
        <v>-0.09</v>
      </c>
      <c r="K113">
        <v>1.07</v>
      </c>
      <c r="L113">
        <v>10.5</v>
      </c>
      <c r="M113">
        <v>11.3</v>
      </c>
      <c r="N113">
        <v>10.43</v>
      </c>
      <c r="O113">
        <v>10.53</v>
      </c>
      <c r="P113">
        <v>258.35000000000002</v>
      </c>
      <c r="Q113">
        <v>12059535</v>
      </c>
      <c r="R113">
        <v>1.03</v>
      </c>
      <c r="S113" t="s">
        <v>109</v>
      </c>
      <c r="T113" t="s">
        <v>37</v>
      </c>
      <c r="U113">
        <v>8.26</v>
      </c>
      <c r="V113">
        <v>10.82</v>
      </c>
      <c r="W113">
        <v>4940</v>
      </c>
      <c r="X113">
        <v>6204</v>
      </c>
      <c r="Y113">
        <v>0.8</v>
      </c>
      <c r="Z113">
        <v>105</v>
      </c>
      <c r="AA113">
        <v>10</v>
      </c>
      <c r="AB113" t="s">
        <v>31</v>
      </c>
    </row>
    <row r="114" spans="1:28">
      <c r="A114" t="str">
        <f>"600137"</f>
        <v>600137</v>
      </c>
      <c r="B114" t="s">
        <v>226</v>
      </c>
      <c r="C114">
        <v>1.31</v>
      </c>
      <c r="D114">
        <v>10.02</v>
      </c>
      <c r="E114">
        <v>0.13</v>
      </c>
      <c r="F114">
        <v>10.039999999999999</v>
      </c>
      <c r="G114">
        <v>10.050000000000001</v>
      </c>
      <c r="H114">
        <v>7915</v>
      </c>
      <c r="I114">
        <v>57</v>
      </c>
      <c r="J114">
        <v>0.5</v>
      </c>
      <c r="K114">
        <v>0.81</v>
      </c>
      <c r="L114">
        <v>9.8699999999999992</v>
      </c>
      <c r="M114">
        <v>10.039999999999999</v>
      </c>
      <c r="N114">
        <v>9.86</v>
      </c>
      <c r="O114">
        <v>9.89</v>
      </c>
      <c r="P114">
        <v>87.6</v>
      </c>
      <c r="Q114">
        <v>7883171</v>
      </c>
      <c r="R114">
        <v>0.56000000000000005</v>
      </c>
      <c r="S114" t="s">
        <v>158</v>
      </c>
      <c r="T114" t="s">
        <v>88</v>
      </c>
      <c r="U114">
        <v>1.82</v>
      </c>
      <c r="V114">
        <v>9.9600000000000009</v>
      </c>
      <c r="W114">
        <v>4226</v>
      </c>
      <c r="X114">
        <v>3689</v>
      </c>
      <c r="Y114">
        <v>1.1499999999999999</v>
      </c>
      <c r="Z114">
        <v>11</v>
      </c>
      <c r="AA114">
        <v>83</v>
      </c>
      <c r="AB114" t="s">
        <v>31</v>
      </c>
    </row>
    <row r="115" spans="1:28">
      <c r="A115" t="str">
        <f>"600138"</f>
        <v>600138</v>
      </c>
      <c r="B115" t="s">
        <v>227</v>
      </c>
      <c r="C115">
        <v>1.32</v>
      </c>
      <c r="D115">
        <v>17.63</v>
      </c>
      <c r="E115">
        <v>0.23</v>
      </c>
      <c r="F115">
        <v>17.61</v>
      </c>
      <c r="G115">
        <v>17.649999999999999</v>
      </c>
      <c r="H115">
        <v>39164</v>
      </c>
      <c r="I115">
        <v>50</v>
      </c>
      <c r="J115">
        <v>-0.11</v>
      </c>
      <c r="K115">
        <v>0.94</v>
      </c>
      <c r="L115">
        <v>17.47</v>
      </c>
      <c r="M115">
        <v>17.760000000000002</v>
      </c>
      <c r="N115">
        <v>17.350000000000001</v>
      </c>
      <c r="O115">
        <v>17.399999999999999</v>
      </c>
      <c r="P115">
        <v>25.69</v>
      </c>
      <c r="Q115">
        <v>68838072</v>
      </c>
      <c r="R115">
        <v>0.63</v>
      </c>
      <c r="S115" t="s">
        <v>228</v>
      </c>
      <c r="T115" t="s">
        <v>42</v>
      </c>
      <c r="U115">
        <v>2.36</v>
      </c>
      <c r="V115">
        <v>17.579999999999998</v>
      </c>
      <c r="W115">
        <v>16992</v>
      </c>
      <c r="X115">
        <v>22172</v>
      </c>
      <c r="Y115">
        <v>0.77</v>
      </c>
      <c r="Z115">
        <v>931</v>
      </c>
      <c r="AA115">
        <v>15</v>
      </c>
      <c r="AB115" t="s">
        <v>31</v>
      </c>
    </row>
    <row r="116" spans="1:28">
      <c r="A116" t="str">
        <f>"600139"</f>
        <v>600139</v>
      </c>
      <c r="B116" t="s">
        <v>229</v>
      </c>
      <c r="C116">
        <v>0.41</v>
      </c>
      <c r="D116">
        <v>7.4</v>
      </c>
      <c r="E116">
        <v>0.03</v>
      </c>
      <c r="F116">
        <v>7.4</v>
      </c>
      <c r="G116">
        <v>7.42</v>
      </c>
      <c r="H116">
        <v>49997</v>
      </c>
      <c r="I116">
        <v>3</v>
      </c>
      <c r="J116">
        <v>0</v>
      </c>
      <c r="K116">
        <v>0.79</v>
      </c>
      <c r="L116">
        <v>7.22</v>
      </c>
      <c r="M116">
        <v>7.41</v>
      </c>
      <c r="N116">
        <v>7.17</v>
      </c>
      <c r="O116">
        <v>7.37</v>
      </c>
      <c r="P116">
        <v>123.01</v>
      </c>
      <c r="Q116">
        <v>36525612</v>
      </c>
      <c r="R116">
        <v>0.59</v>
      </c>
      <c r="S116" t="s">
        <v>230</v>
      </c>
      <c r="T116" t="s">
        <v>88</v>
      </c>
      <c r="U116">
        <v>3.26</v>
      </c>
      <c r="V116">
        <v>7.31</v>
      </c>
      <c r="W116">
        <v>25046</v>
      </c>
      <c r="X116">
        <v>24951</v>
      </c>
      <c r="Y116">
        <v>1</v>
      </c>
      <c r="Z116">
        <v>53</v>
      </c>
      <c r="AA116">
        <v>85</v>
      </c>
      <c r="AB116" t="s">
        <v>31</v>
      </c>
    </row>
    <row r="117" spans="1:28">
      <c r="A117" t="str">
        <f>"600141"</f>
        <v>600141</v>
      </c>
      <c r="B117" t="s">
        <v>231</v>
      </c>
      <c r="C117">
        <v>1.22</v>
      </c>
      <c r="D117">
        <v>12.43</v>
      </c>
      <c r="E117">
        <v>0.15</v>
      </c>
      <c r="F117">
        <v>12.43</v>
      </c>
      <c r="G117">
        <v>12.44</v>
      </c>
      <c r="H117">
        <v>20353</v>
      </c>
      <c r="I117">
        <v>3</v>
      </c>
      <c r="J117">
        <v>-0.08</v>
      </c>
      <c r="K117">
        <v>0.56000000000000005</v>
      </c>
      <c r="L117">
        <v>12.26</v>
      </c>
      <c r="M117">
        <v>12.45</v>
      </c>
      <c r="N117">
        <v>12.2</v>
      </c>
      <c r="O117">
        <v>12.28</v>
      </c>
      <c r="P117">
        <v>31.03</v>
      </c>
      <c r="Q117">
        <v>25064820</v>
      </c>
      <c r="R117">
        <v>0.57999999999999996</v>
      </c>
      <c r="S117" t="s">
        <v>137</v>
      </c>
      <c r="T117" t="s">
        <v>37</v>
      </c>
      <c r="U117">
        <v>2.04</v>
      </c>
      <c r="V117">
        <v>12.31</v>
      </c>
      <c r="W117">
        <v>10212</v>
      </c>
      <c r="X117">
        <v>10141</v>
      </c>
      <c r="Y117">
        <v>1.01</v>
      </c>
      <c r="Z117">
        <v>7</v>
      </c>
      <c r="AA117">
        <v>176</v>
      </c>
      <c r="AB117" t="s">
        <v>31</v>
      </c>
    </row>
    <row r="118" spans="1:28">
      <c r="A118" t="str">
        <f>"600143"</f>
        <v>600143</v>
      </c>
      <c r="B118" t="s">
        <v>232</v>
      </c>
      <c r="C118">
        <v>1.61</v>
      </c>
      <c r="D118">
        <v>5.68</v>
      </c>
      <c r="E118">
        <v>0.09</v>
      </c>
      <c r="F118">
        <v>5.66</v>
      </c>
      <c r="G118">
        <v>5.67</v>
      </c>
      <c r="H118">
        <v>357659</v>
      </c>
      <c r="I118">
        <v>66</v>
      </c>
      <c r="J118">
        <v>0.17</v>
      </c>
      <c r="K118">
        <v>1.36</v>
      </c>
      <c r="L118">
        <v>5.55</v>
      </c>
      <c r="M118">
        <v>5.69</v>
      </c>
      <c r="N118">
        <v>5.52</v>
      </c>
      <c r="O118">
        <v>5.59</v>
      </c>
      <c r="P118">
        <v>18.16</v>
      </c>
      <c r="Q118">
        <v>201365184</v>
      </c>
      <c r="R118">
        <v>0.67</v>
      </c>
      <c r="S118" t="s">
        <v>135</v>
      </c>
      <c r="T118" t="s">
        <v>34</v>
      </c>
      <c r="U118">
        <v>3.04</v>
      </c>
      <c r="V118">
        <v>5.63</v>
      </c>
      <c r="W118">
        <v>187416</v>
      </c>
      <c r="X118">
        <v>170243</v>
      </c>
      <c r="Y118">
        <v>1.1000000000000001</v>
      </c>
      <c r="Z118">
        <v>799</v>
      </c>
      <c r="AA118">
        <v>458</v>
      </c>
      <c r="AB118" t="s">
        <v>31</v>
      </c>
    </row>
    <row r="119" spans="1:28">
      <c r="A119" t="str">
        <f>"600145"</f>
        <v>600145</v>
      </c>
      <c r="B119" t="s">
        <v>233</v>
      </c>
      <c r="C119">
        <v>2.93</v>
      </c>
      <c r="D119">
        <v>4.5599999999999996</v>
      </c>
      <c r="E119">
        <v>0.13</v>
      </c>
      <c r="F119">
        <v>4.55</v>
      </c>
      <c r="G119">
        <v>4.5599999999999996</v>
      </c>
      <c r="H119">
        <v>54676</v>
      </c>
      <c r="I119">
        <v>182</v>
      </c>
      <c r="J119">
        <v>-0.21</v>
      </c>
      <c r="K119">
        <v>1.45</v>
      </c>
      <c r="L119">
        <v>4.43</v>
      </c>
      <c r="M119">
        <v>4.67</v>
      </c>
      <c r="N119">
        <v>4.38</v>
      </c>
      <c r="O119">
        <v>4.43</v>
      </c>
      <c r="P119">
        <v>207.79</v>
      </c>
      <c r="Q119">
        <v>24828160</v>
      </c>
      <c r="R119">
        <v>0.85</v>
      </c>
      <c r="S119" t="s">
        <v>234</v>
      </c>
      <c r="T119" t="s">
        <v>195</v>
      </c>
      <c r="U119">
        <v>6.55</v>
      </c>
      <c r="V119">
        <v>4.54</v>
      </c>
      <c r="W119">
        <v>24239</v>
      </c>
      <c r="X119">
        <v>30437</v>
      </c>
      <c r="Y119">
        <v>0.8</v>
      </c>
      <c r="Z119">
        <v>51</v>
      </c>
      <c r="AA119">
        <v>609</v>
      </c>
      <c r="AB119" t="s">
        <v>31</v>
      </c>
    </row>
    <row r="120" spans="1:28">
      <c r="A120" t="str">
        <f>"600146"</f>
        <v>600146</v>
      </c>
      <c r="B120" t="s">
        <v>235</v>
      </c>
      <c r="C120">
        <v>0</v>
      </c>
      <c r="D120">
        <v>9.4499999999999993</v>
      </c>
      <c r="E120">
        <v>0</v>
      </c>
      <c r="F120" t="s">
        <v>31</v>
      </c>
      <c r="G120" t="s">
        <v>31</v>
      </c>
      <c r="H120">
        <v>0</v>
      </c>
      <c r="I120">
        <v>0</v>
      </c>
      <c r="J120">
        <v>0</v>
      </c>
      <c r="K120">
        <v>0</v>
      </c>
      <c r="L120" t="s">
        <v>31</v>
      </c>
      <c r="M120" t="s">
        <v>31</v>
      </c>
      <c r="N120" t="s">
        <v>31</v>
      </c>
      <c r="O120">
        <v>9.4499999999999993</v>
      </c>
      <c r="P120" t="s">
        <v>31</v>
      </c>
      <c r="Q120">
        <v>0</v>
      </c>
      <c r="R120">
        <v>0</v>
      </c>
      <c r="S120" t="s">
        <v>135</v>
      </c>
      <c r="T120" t="s">
        <v>236</v>
      </c>
      <c r="U120">
        <v>0</v>
      </c>
      <c r="V120">
        <v>9.4499999999999993</v>
      </c>
      <c r="W120">
        <v>0</v>
      </c>
      <c r="X120">
        <v>0</v>
      </c>
      <c r="Y120" t="s">
        <v>31</v>
      </c>
      <c r="Z120">
        <v>0</v>
      </c>
      <c r="AA120">
        <v>0</v>
      </c>
      <c r="AB120" t="s">
        <v>31</v>
      </c>
    </row>
    <row r="121" spans="1:28">
      <c r="A121" t="str">
        <f>"600148"</f>
        <v>600148</v>
      </c>
      <c r="B121" t="s">
        <v>237</v>
      </c>
      <c r="C121">
        <v>3.77</v>
      </c>
      <c r="D121">
        <v>7.99</v>
      </c>
      <c r="E121">
        <v>0.28999999999999998</v>
      </c>
      <c r="F121">
        <v>7.98</v>
      </c>
      <c r="G121">
        <v>7.99</v>
      </c>
      <c r="H121">
        <v>5883</v>
      </c>
      <c r="I121">
        <v>1</v>
      </c>
      <c r="J121">
        <v>0.12</v>
      </c>
      <c r="K121">
        <v>0.42</v>
      </c>
      <c r="L121">
        <v>7.75</v>
      </c>
      <c r="M121">
        <v>8.02</v>
      </c>
      <c r="N121">
        <v>7.72</v>
      </c>
      <c r="O121">
        <v>7.7</v>
      </c>
      <c r="P121">
        <v>34.700000000000003</v>
      </c>
      <c r="Q121">
        <v>4635581</v>
      </c>
      <c r="R121">
        <v>0.6</v>
      </c>
      <c r="S121" t="s">
        <v>149</v>
      </c>
      <c r="T121" t="s">
        <v>191</v>
      </c>
      <c r="U121">
        <v>3.9</v>
      </c>
      <c r="V121">
        <v>7.88</v>
      </c>
      <c r="W121">
        <v>2138</v>
      </c>
      <c r="X121">
        <v>3745</v>
      </c>
      <c r="Y121">
        <v>0.56999999999999995</v>
      </c>
      <c r="Z121">
        <v>116</v>
      </c>
      <c r="AA121">
        <v>2</v>
      </c>
      <c r="AB121" t="s">
        <v>31</v>
      </c>
    </row>
    <row r="122" spans="1:28">
      <c r="A122" t="str">
        <f>"600149"</f>
        <v>600149</v>
      </c>
      <c r="B122" t="s">
        <v>238</v>
      </c>
      <c r="C122">
        <v>0</v>
      </c>
      <c r="D122">
        <v>7.99</v>
      </c>
      <c r="E122">
        <v>0</v>
      </c>
      <c r="F122" t="s">
        <v>31</v>
      </c>
      <c r="G122" t="s">
        <v>31</v>
      </c>
      <c r="H122">
        <v>0</v>
      </c>
      <c r="I122">
        <v>0</v>
      </c>
      <c r="J122">
        <v>0</v>
      </c>
      <c r="K122">
        <v>0</v>
      </c>
      <c r="L122" t="s">
        <v>31</v>
      </c>
      <c r="M122" t="s">
        <v>31</v>
      </c>
      <c r="N122" t="s">
        <v>31</v>
      </c>
      <c r="O122">
        <v>7.99</v>
      </c>
      <c r="P122" t="s">
        <v>31</v>
      </c>
      <c r="Q122">
        <v>0</v>
      </c>
      <c r="R122">
        <v>0</v>
      </c>
      <c r="S122" t="s">
        <v>198</v>
      </c>
      <c r="T122" t="s">
        <v>224</v>
      </c>
      <c r="U122">
        <v>0</v>
      </c>
      <c r="V122">
        <v>7.99</v>
      </c>
      <c r="W122">
        <v>0</v>
      </c>
      <c r="X122">
        <v>0</v>
      </c>
      <c r="Y122" t="s">
        <v>31</v>
      </c>
      <c r="Z122">
        <v>0</v>
      </c>
      <c r="AA122">
        <v>0</v>
      </c>
      <c r="AB122" t="s">
        <v>31</v>
      </c>
    </row>
    <row r="123" spans="1:28">
      <c r="A123" t="str">
        <f>"600150"</f>
        <v>600150</v>
      </c>
      <c r="B123" t="s">
        <v>239</v>
      </c>
      <c r="C123">
        <v>1.72</v>
      </c>
      <c r="D123">
        <v>17.14</v>
      </c>
      <c r="E123">
        <v>0.28999999999999998</v>
      </c>
      <c r="F123">
        <v>17.13</v>
      </c>
      <c r="G123">
        <v>17.14</v>
      </c>
      <c r="H123">
        <v>43051</v>
      </c>
      <c r="I123">
        <v>10</v>
      </c>
      <c r="J123">
        <v>0</v>
      </c>
      <c r="K123">
        <v>0.31</v>
      </c>
      <c r="L123">
        <v>16.899999999999999</v>
      </c>
      <c r="M123">
        <v>17.329999999999998</v>
      </c>
      <c r="N123">
        <v>16.71</v>
      </c>
      <c r="O123">
        <v>16.850000000000001</v>
      </c>
      <c r="P123">
        <v>211.94</v>
      </c>
      <c r="Q123">
        <v>73339624</v>
      </c>
      <c r="R123">
        <v>0.95</v>
      </c>
      <c r="S123" t="s">
        <v>131</v>
      </c>
      <c r="T123" t="s">
        <v>30</v>
      </c>
      <c r="U123">
        <v>3.68</v>
      </c>
      <c r="V123">
        <v>17.04</v>
      </c>
      <c r="W123">
        <v>21585</v>
      </c>
      <c r="X123">
        <v>21466</v>
      </c>
      <c r="Y123">
        <v>1.01</v>
      </c>
      <c r="Z123">
        <v>344</v>
      </c>
      <c r="AA123">
        <v>88</v>
      </c>
      <c r="AB123" t="s">
        <v>31</v>
      </c>
    </row>
    <row r="124" spans="1:28">
      <c r="A124" t="str">
        <f>"600151"</f>
        <v>600151</v>
      </c>
      <c r="B124" t="s">
        <v>240</v>
      </c>
      <c r="C124">
        <v>-0.74</v>
      </c>
      <c r="D124">
        <v>9.35</v>
      </c>
      <c r="E124">
        <v>-7.0000000000000007E-2</v>
      </c>
      <c r="F124">
        <v>9.36</v>
      </c>
      <c r="G124">
        <v>9.3699999999999992</v>
      </c>
      <c r="H124">
        <v>153500</v>
      </c>
      <c r="I124">
        <v>46</v>
      </c>
      <c r="J124">
        <v>0.1</v>
      </c>
      <c r="K124">
        <v>1.27</v>
      </c>
      <c r="L124">
        <v>9.35</v>
      </c>
      <c r="M124">
        <v>9.48</v>
      </c>
      <c r="N124">
        <v>9</v>
      </c>
      <c r="O124">
        <v>9.42</v>
      </c>
      <c r="P124">
        <v>43.75</v>
      </c>
      <c r="Q124">
        <v>141790176</v>
      </c>
      <c r="R124">
        <v>0.61</v>
      </c>
      <c r="S124" t="s">
        <v>241</v>
      </c>
      <c r="T124" t="s">
        <v>30</v>
      </c>
      <c r="U124">
        <v>5.0999999999999996</v>
      </c>
      <c r="V124">
        <v>9.24</v>
      </c>
      <c r="W124">
        <v>83643</v>
      </c>
      <c r="X124">
        <v>69857</v>
      </c>
      <c r="Y124">
        <v>1.2</v>
      </c>
      <c r="Z124">
        <v>31</v>
      </c>
      <c r="AA124">
        <v>331</v>
      </c>
      <c r="AB124" t="s">
        <v>31</v>
      </c>
    </row>
    <row r="125" spans="1:28">
      <c r="A125" t="str">
        <f>"600152"</f>
        <v>600152</v>
      </c>
      <c r="B125" t="s">
        <v>242</v>
      </c>
      <c r="C125">
        <v>0.45</v>
      </c>
      <c r="D125">
        <v>4.4800000000000004</v>
      </c>
      <c r="E125">
        <v>0.02</v>
      </c>
      <c r="F125">
        <v>4.4800000000000004</v>
      </c>
      <c r="G125">
        <v>4.49</v>
      </c>
      <c r="H125">
        <v>29236</v>
      </c>
      <c r="I125">
        <v>63</v>
      </c>
      <c r="J125">
        <v>-0.22</v>
      </c>
      <c r="K125">
        <v>1</v>
      </c>
      <c r="L125">
        <v>4.47</v>
      </c>
      <c r="M125">
        <v>4.5199999999999996</v>
      </c>
      <c r="N125">
        <v>4.38</v>
      </c>
      <c r="O125">
        <v>4.46</v>
      </c>
      <c r="P125" t="s">
        <v>31</v>
      </c>
      <c r="Q125">
        <v>13018397</v>
      </c>
      <c r="R125">
        <v>0.71</v>
      </c>
      <c r="S125" t="s">
        <v>127</v>
      </c>
      <c r="T125" t="s">
        <v>95</v>
      </c>
      <c r="U125">
        <v>3.14</v>
      </c>
      <c r="V125">
        <v>4.45</v>
      </c>
      <c r="W125">
        <v>16651</v>
      </c>
      <c r="X125">
        <v>12585</v>
      </c>
      <c r="Y125">
        <v>1.32</v>
      </c>
      <c r="Z125">
        <v>37</v>
      </c>
      <c r="AA125">
        <v>211</v>
      </c>
      <c r="AB125" t="s">
        <v>31</v>
      </c>
    </row>
    <row r="126" spans="1:28">
      <c r="A126" t="str">
        <f>"600153"</f>
        <v>600153</v>
      </c>
      <c r="B126" t="s">
        <v>243</v>
      </c>
      <c r="C126">
        <v>2.3199999999999998</v>
      </c>
      <c r="D126">
        <v>7.06</v>
      </c>
      <c r="E126">
        <v>0.16</v>
      </c>
      <c r="F126">
        <v>7.05</v>
      </c>
      <c r="G126">
        <v>7.06</v>
      </c>
      <c r="H126">
        <v>84197</v>
      </c>
      <c r="I126">
        <v>79</v>
      </c>
      <c r="J126">
        <v>0</v>
      </c>
      <c r="K126">
        <v>0.38</v>
      </c>
      <c r="L126">
        <v>6.9</v>
      </c>
      <c r="M126">
        <v>7.07</v>
      </c>
      <c r="N126">
        <v>6.86</v>
      </c>
      <c r="O126">
        <v>6.9</v>
      </c>
      <c r="P126">
        <v>7.45</v>
      </c>
      <c r="Q126">
        <v>58930976</v>
      </c>
      <c r="R126">
        <v>0.82</v>
      </c>
      <c r="S126" t="s">
        <v>109</v>
      </c>
      <c r="T126" t="s">
        <v>78</v>
      </c>
      <c r="U126">
        <v>3.04</v>
      </c>
      <c r="V126">
        <v>7</v>
      </c>
      <c r="W126">
        <v>34046</v>
      </c>
      <c r="X126">
        <v>50151</v>
      </c>
      <c r="Y126">
        <v>0.68</v>
      </c>
      <c r="Z126">
        <v>701</v>
      </c>
      <c r="AA126">
        <v>32</v>
      </c>
      <c r="AB126" t="s">
        <v>31</v>
      </c>
    </row>
    <row r="127" spans="1:28">
      <c r="A127" t="str">
        <f>"600155"</f>
        <v>600155</v>
      </c>
      <c r="B127" t="s">
        <v>244</v>
      </c>
      <c r="C127">
        <v>2.56</v>
      </c>
      <c r="D127">
        <v>3.61</v>
      </c>
      <c r="E127">
        <v>0.09</v>
      </c>
      <c r="F127">
        <v>3.62</v>
      </c>
      <c r="G127">
        <v>3.63</v>
      </c>
      <c r="H127">
        <v>28785</v>
      </c>
      <c r="I127">
        <v>142</v>
      </c>
      <c r="J127">
        <v>0.83</v>
      </c>
      <c r="K127">
        <v>0.7</v>
      </c>
      <c r="L127">
        <v>3.54</v>
      </c>
      <c r="M127">
        <v>3.63</v>
      </c>
      <c r="N127">
        <v>3.47</v>
      </c>
      <c r="O127">
        <v>3.52</v>
      </c>
      <c r="P127" t="s">
        <v>31</v>
      </c>
      <c r="Q127">
        <v>10216624</v>
      </c>
      <c r="R127">
        <v>0.82</v>
      </c>
      <c r="S127" t="s">
        <v>137</v>
      </c>
      <c r="T127" t="s">
        <v>224</v>
      </c>
      <c r="U127">
        <v>4.55</v>
      </c>
      <c r="V127">
        <v>3.55</v>
      </c>
      <c r="W127">
        <v>12771</v>
      </c>
      <c r="X127">
        <v>16014</v>
      </c>
      <c r="Y127">
        <v>0.8</v>
      </c>
      <c r="Z127">
        <v>105</v>
      </c>
      <c r="AA127">
        <v>470</v>
      </c>
      <c r="AB127" t="s">
        <v>31</v>
      </c>
    </row>
    <row r="128" spans="1:28">
      <c r="A128" t="str">
        <f>"600156"</f>
        <v>600156</v>
      </c>
      <c r="B128" t="s">
        <v>245</v>
      </c>
      <c r="C128">
        <v>1.27</v>
      </c>
      <c r="D128">
        <v>4</v>
      </c>
      <c r="E128">
        <v>0.05</v>
      </c>
      <c r="F128">
        <v>4</v>
      </c>
      <c r="G128">
        <v>4.01</v>
      </c>
      <c r="H128">
        <v>22885</v>
      </c>
      <c r="I128">
        <v>145</v>
      </c>
      <c r="J128">
        <v>0</v>
      </c>
      <c r="K128">
        <v>0.56999999999999995</v>
      </c>
      <c r="L128">
        <v>3.96</v>
      </c>
      <c r="M128">
        <v>4.01</v>
      </c>
      <c r="N128">
        <v>3.91</v>
      </c>
      <c r="O128">
        <v>3.95</v>
      </c>
      <c r="P128" t="s">
        <v>31</v>
      </c>
      <c r="Q128">
        <v>9105116</v>
      </c>
      <c r="R128">
        <v>0.41</v>
      </c>
      <c r="S128" t="s">
        <v>127</v>
      </c>
      <c r="T128" t="s">
        <v>76</v>
      </c>
      <c r="U128">
        <v>2.5299999999999998</v>
      </c>
      <c r="V128">
        <v>3.98</v>
      </c>
      <c r="W128">
        <v>12955</v>
      </c>
      <c r="X128">
        <v>9930</v>
      </c>
      <c r="Y128">
        <v>1.3</v>
      </c>
      <c r="Z128">
        <v>168</v>
      </c>
      <c r="AA128">
        <v>275</v>
      </c>
      <c r="AB128" t="s">
        <v>31</v>
      </c>
    </row>
    <row r="129" spans="1:28">
      <c r="A129" t="str">
        <f>"600157"</f>
        <v>600157</v>
      </c>
      <c r="B129" t="s">
        <v>246</v>
      </c>
      <c r="C129">
        <v>3.98</v>
      </c>
      <c r="D129">
        <v>6.01</v>
      </c>
      <c r="E129">
        <v>0.23</v>
      </c>
      <c r="F129">
        <v>6</v>
      </c>
      <c r="G129">
        <v>6.01</v>
      </c>
      <c r="H129">
        <v>264379</v>
      </c>
      <c r="I129">
        <v>1012</v>
      </c>
      <c r="J129">
        <v>0.16</v>
      </c>
      <c r="K129">
        <v>1.84</v>
      </c>
      <c r="L129">
        <v>5.82</v>
      </c>
      <c r="M129">
        <v>6.03</v>
      </c>
      <c r="N129">
        <v>5.78</v>
      </c>
      <c r="O129">
        <v>5.78</v>
      </c>
      <c r="P129">
        <v>16.53</v>
      </c>
      <c r="Q129">
        <v>156476208</v>
      </c>
      <c r="R129">
        <v>1.28</v>
      </c>
      <c r="S129" t="s">
        <v>208</v>
      </c>
      <c r="T129" t="s">
        <v>212</v>
      </c>
      <c r="U129">
        <v>4.33</v>
      </c>
      <c r="V129">
        <v>5.92</v>
      </c>
      <c r="W129">
        <v>111823</v>
      </c>
      <c r="X129">
        <v>152556</v>
      </c>
      <c r="Y129">
        <v>0.73</v>
      </c>
      <c r="Z129">
        <v>1362</v>
      </c>
      <c r="AA129">
        <v>591</v>
      </c>
      <c r="AB129" t="s">
        <v>31</v>
      </c>
    </row>
    <row r="130" spans="1:28">
      <c r="A130" t="str">
        <f>"600158"</f>
        <v>600158</v>
      </c>
      <c r="B130" t="s">
        <v>247</v>
      </c>
      <c r="C130">
        <v>2.81</v>
      </c>
      <c r="D130">
        <v>8.42</v>
      </c>
      <c r="E130">
        <v>0.23</v>
      </c>
      <c r="F130">
        <v>8.41</v>
      </c>
      <c r="G130">
        <v>8.42</v>
      </c>
      <c r="H130">
        <v>354246</v>
      </c>
      <c r="I130">
        <v>67</v>
      </c>
      <c r="J130">
        <v>-0.11</v>
      </c>
      <c r="K130">
        <v>5.39</v>
      </c>
      <c r="L130">
        <v>8.16</v>
      </c>
      <c r="M130">
        <v>8.48</v>
      </c>
      <c r="N130">
        <v>8.1</v>
      </c>
      <c r="O130">
        <v>8.19</v>
      </c>
      <c r="P130">
        <v>96.11</v>
      </c>
      <c r="Q130">
        <v>294741920</v>
      </c>
      <c r="R130">
        <v>0.57999999999999996</v>
      </c>
      <c r="S130" t="s">
        <v>90</v>
      </c>
      <c r="T130" t="s">
        <v>151</v>
      </c>
      <c r="U130">
        <v>4.6399999999999997</v>
      </c>
      <c r="V130">
        <v>8.32</v>
      </c>
      <c r="W130">
        <v>175913</v>
      </c>
      <c r="X130">
        <v>178333</v>
      </c>
      <c r="Y130">
        <v>0.99</v>
      </c>
      <c r="Z130">
        <v>828</v>
      </c>
      <c r="AA130">
        <v>443</v>
      </c>
      <c r="AB130" t="s">
        <v>31</v>
      </c>
    </row>
    <row r="131" spans="1:28">
      <c r="A131" t="str">
        <f>"600159"</f>
        <v>600159</v>
      </c>
      <c r="B131" t="s">
        <v>248</v>
      </c>
      <c r="C131">
        <v>-1.63</v>
      </c>
      <c r="D131">
        <v>3.02</v>
      </c>
      <c r="E131">
        <v>-0.05</v>
      </c>
      <c r="F131">
        <v>3.02</v>
      </c>
      <c r="G131">
        <v>3.03</v>
      </c>
      <c r="H131">
        <v>332459</v>
      </c>
      <c r="I131">
        <v>11</v>
      </c>
      <c r="J131">
        <v>-0.33</v>
      </c>
      <c r="K131">
        <v>4.01</v>
      </c>
      <c r="L131">
        <v>3.05</v>
      </c>
      <c r="M131">
        <v>3.08</v>
      </c>
      <c r="N131">
        <v>2.97</v>
      </c>
      <c r="O131">
        <v>3.07</v>
      </c>
      <c r="P131">
        <v>6.99</v>
      </c>
      <c r="Q131">
        <v>100753592</v>
      </c>
      <c r="R131">
        <v>1.92</v>
      </c>
      <c r="S131" t="s">
        <v>97</v>
      </c>
      <c r="T131" t="s">
        <v>42</v>
      </c>
      <c r="U131">
        <v>3.58</v>
      </c>
      <c r="V131">
        <v>3.03</v>
      </c>
      <c r="W131">
        <v>190493</v>
      </c>
      <c r="X131">
        <v>141966</v>
      </c>
      <c r="Y131">
        <v>1.34</v>
      </c>
      <c r="Z131">
        <v>75</v>
      </c>
      <c r="AA131">
        <v>258</v>
      </c>
      <c r="AB131" t="s">
        <v>31</v>
      </c>
    </row>
    <row r="132" spans="1:28">
      <c r="A132" t="str">
        <f>"600160"</f>
        <v>600160</v>
      </c>
      <c r="B132" t="s">
        <v>249</v>
      </c>
      <c r="C132">
        <v>1.91</v>
      </c>
      <c r="D132">
        <v>6.4</v>
      </c>
      <c r="E132">
        <v>0.12</v>
      </c>
      <c r="F132">
        <v>6.4</v>
      </c>
      <c r="G132">
        <v>6.41</v>
      </c>
      <c r="H132">
        <v>55704</v>
      </c>
      <c r="I132">
        <v>10</v>
      </c>
      <c r="J132">
        <v>0.15</v>
      </c>
      <c r="K132">
        <v>0.4</v>
      </c>
      <c r="L132">
        <v>6.31</v>
      </c>
      <c r="M132">
        <v>6.41</v>
      </c>
      <c r="N132">
        <v>6.28</v>
      </c>
      <c r="O132">
        <v>6.28</v>
      </c>
      <c r="P132">
        <v>31.8</v>
      </c>
      <c r="Q132">
        <v>35373780</v>
      </c>
      <c r="R132">
        <v>0.65</v>
      </c>
      <c r="S132" t="s">
        <v>137</v>
      </c>
      <c r="T132" t="s">
        <v>95</v>
      </c>
      <c r="U132">
        <v>2.0699999999999998</v>
      </c>
      <c r="V132">
        <v>6.35</v>
      </c>
      <c r="W132">
        <v>29406</v>
      </c>
      <c r="X132">
        <v>26298</v>
      </c>
      <c r="Y132">
        <v>1.1200000000000001</v>
      </c>
      <c r="Z132">
        <v>30</v>
      </c>
      <c r="AA132">
        <v>796</v>
      </c>
      <c r="AB132" t="s">
        <v>31</v>
      </c>
    </row>
    <row r="133" spans="1:28">
      <c r="A133" t="str">
        <f>"600161"</f>
        <v>600161</v>
      </c>
      <c r="B133" t="s">
        <v>250</v>
      </c>
      <c r="C133">
        <v>3.14</v>
      </c>
      <c r="D133">
        <v>18.73</v>
      </c>
      <c r="E133">
        <v>0.56999999999999995</v>
      </c>
      <c r="F133">
        <v>18.72</v>
      </c>
      <c r="G133">
        <v>18.73</v>
      </c>
      <c r="H133">
        <v>46176</v>
      </c>
      <c r="I133">
        <v>3</v>
      </c>
      <c r="J133">
        <v>0.1</v>
      </c>
      <c r="K133">
        <v>0.9</v>
      </c>
      <c r="L133">
        <v>18.16</v>
      </c>
      <c r="M133">
        <v>18.760000000000002</v>
      </c>
      <c r="N133">
        <v>18.11</v>
      </c>
      <c r="O133">
        <v>18.16</v>
      </c>
      <c r="P133">
        <v>21.56</v>
      </c>
      <c r="Q133">
        <v>85258080</v>
      </c>
      <c r="R133">
        <v>0.65</v>
      </c>
      <c r="S133" t="s">
        <v>145</v>
      </c>
      <c r="T133" t="s">
        <v>42</v>
      </c>
      <c r="U133">
        <v>3.58</v>
      </c>
      <c r="V133">
        <v>18.46</v>
      </c>
      <c r="W133">
        <v>21926</v>
      </c>
      <c r="X133">
        <v>24250</v>
      </c>
      <c r="Y133">
        <v>0.9</v>
      </c>
      <c r="Z133">
        <v>1</v>
      </c>
      <c r="AA133">
        <v>14</v>
      </c>
      <c r="AB133" t="s">
        <v>31</v>
      </c>
    </row>
    <row r="134" spans="1:28">
      <c r="A134" t="str">
        <f>"600162"</f>
        <v>600162</v>
      </c>
      <c r="B134" t="s">
        <v>251</v>
      </c>
      <c r="C134">
        <v>1.9</v>
      </c>
      <c r="D134">
        <v>5.89</v>
      </c>
      <c r="E134">
        <v>0.11</v>
      </c>
      <c r="F134">
        <v>5.88</v>
      </c>
      <c r="G134">
        <v>5.89</v>
      </c>
      <c r="H134">
        <v>66710</v>
      </c>
      <c r="I134">
        <v>21</v>
      </c>
      <c r="J134">
        <v>0.34</v>
      </c>
      <c r="K134">
        <v>0.87</v>
      </c>
      <c r="L134">
        <v>5.78</v>
      </c>
      <c r="M134">
        <v>5.9</v>
      </c>
      <c r="N134">
        <v>5.68</v>
      </c>
      <c r="O134">
        <v>5.78</v>
      </c>
      <c r="P134">
        <v>16.89</v>
      </c>
      <c r="Q134">
        <v>38687776</v>
      </c>
      <c r="R134">
        <v>0.69</v>
      </c>
      <c r="S134" t="s">
        <v>90</v>
      </c>
      <c r="T134" t="s">
        <v>73</v>
      </c>
      <c r="U134">
        <v>3.81</v>
      </c>
      <c r="V134">
        <v>5.8</v>
      </c>
      <c r="W134">
        <v>29306</v>
      </c>
      <c r="X134">
        <v>37404</v>
      </c>
      <c r="Y134">
        <v>0.78</v>
      </c>
      <c r="Z134">
        <v>236</v>
      </c>
      <c r="AA134">
        <v>352</v>
      </c>
      <c r="AB134" t="s">
        <v>31</v>
      </c>
    </row>
    <row r="135" spans="1:28">
      <c r="A135" t="str">
        <f>"600163"</f>
        <v>600163</v>
      </c>
      <c r="B135" t="s">
        <v>252</v>
      </c>
      <c r="C135">
        <v>1.76</v>
      </c>
      <c r="D135">
        <v>4.04</v>
      </c>
      <c r="E135">
        <v>7.0000000000000007E-2</v>
      </c>
      <c r="F135">
        <v>4.03</v>
      </c>
      <c r="G135">
        <v>4.04</v>
      </c>
      <c r="H135">
        <v>63808</v>
      </c>
      <c r="I135">
        <v>139</v>
      </c>
      <c r="J135">
        <v>-0.24</v>
      </c>
      <c r="K135">
        <v>0.88</v>
      </c>
      <c r="L135">
        <v>3.99</v>
      </c>
      <c r="M135">
        <v>4.09</v>
      </c>
      <c r="N135">
        <v>3.99</v>
      </c>
      <c r="O135">
        <v>3.97</v>
      </c>
      <c r="P135" t="s">
        <v>31</v>
      </c>
      <c r="Q135">
        <v>25827938</v>
      </c>
      <c r="R135">
        <v>0.82</v>
      </c>
      <c r="S135" t="s">
        <v>125</v>
      </c>
      <c r="T135" t="s">
        <v>78</v>
      </c>
      <c r="U135">
        <v>2.52</v>
      </c>
      <c r="V135">
        <v>4.05</v>
      </c>
      <c r="W135">
        <v>29031</v>
      </c>
      <c r="X135">
        <v>34777</v>
      </c>
      <c r="Y135">
        <v>0.83</v>
      </c>
      <c r="Z135">
        <v>559</v>
      </c>
      <c r="AA135">
        <v>487</v>
      </c>
      <c r="AB135" t="s">
        <v>31</v>
      </c>
    </row>
    <row r="136" spans="1:28">
      <c r="A136" t="str">
        <f>"600165"</f>
        <v>600165</v>
      </c>
      <c r="B136" t="s">
        <v>253</v>
      </c>
      <c r="C136">
        <v>1.46</v>
      </c>
      <c r="D136">
        <v>6.25</v>
      </c>
      <c r="E136">
        <v>0.09</v>
      </c>
      <c r="F136">
        <v>6.24</v>
      </c>
      <c r="G136">
        <v>6.25</v>
      </c>
      <c r="H136">
        <v>19544</v>
      </c>
      <c r="I136">
        <v>7</v>
      </c>
      <c r="J136">
        <v>0.16</v>
      </c>
      <c r="K136">
        <v>1.01</v>
      </c>
      <c r="L136">
        <v>6.15</v>
      </c>
      <c r="M136">
        <v>6.25</v>
      </c>
      <c r="N136">
        <v>6.13</v>
      </c>
      <c r="O136">
        <v>6.16</v>
      </c>
      <c r="P136">
        <v>152.31</v>
      </c>
      <c r="Q136">
        <v>12114239</v>
      </c>
      <c r="R136">
        <v>0.6</v>
      </c>
      <c r="S136" t="s">
        <v>254</v>
      </c>
      <c r="T136" t="s">
        <v>236</v>
      </c>
      <c r="U136">
        <v>1.95</v>
      </c>
      <c r="V136">
        <v>6.2</v>
      </c>
      <c r="W136">
        <v>9294</v>
      </c>
      <c r="X136">
        <v>10250</v>
      </c>
      <c r="Y136">
        <v>0.91</v>
      </c>
      <c r="Z136">
        <v>577</v>
      </c>
      <c r="AA136">
        <v>272</v>
      </c>
      <c r="AB136" t="s">
        <v>31</v>
      </c>
    </row>
    <row r="137" spans="1:28">
      <c r="A137" t="str">
        <f>"600166"</f>
        <v>600166</v>
      </c>
      <c r="B137" t="s">
        <v>255</v>
      </c>
      <c r="C137">
        <v>0.98</v>
      </c>
      <c r="D137">
        <v>5.13</v>
      </c>
      <c r="E137">
        <v>0.05</v>
      </c>
      <c r="F137">
        <v>5.13</v>
      </c>
      <c r="G137">
        <v>5.14</v>
      </c>
      <c r="H137">
        <v>132966</v>
      </c>
      <c r="I137">
        <v>110</v>
      </c>
      <c r="J137">
        <v>0.19</v>
      </c>
      <c r="K137">
        <v>0.52</v>
      </c>
      <c r="L137">
        <v>5.08</v>
      </c>
      <c r="M137">
        <v>5.14</v>
      </c>
      <c r="N137">
        <v>5.05</v>
      </c>
      <c r="O137">
        <v>5.08</v>
      </c>
      <c r="P137">
        <v>17.68</v>
      </c>
      <c r="Q137">
        <v>67819896</v>
      </c>
      <c r="R137">
        <v>0.63</v>
      </c>
      <c r="S137" t="s">
        <v>39</v>
      </c>
      <c r="T137" t="s">
        <v>42</v>
      </c>
      <c r="U137">
        <v>1.77</v>
      </c>
      <c r="V137">
        <v>5.0999999999999996</v>
      </c>
      <c r="W137">
        <v>72674</v>
      </c>
      <c r="X137">
        <v>60292</v>
      </c>
      <c r="Y137">
        <v>1.21</v>
      </c>
      <c r="Z137">
        <v>272</v>
      </c>
      <c r="AA137">
        <v>891</v>
      </c>
      <c r="AB137" t="s">
        <v>31</v>
      </c>
    </row>
    <row r="138" spans="1:28">
      <c r="A138" t="str">
        <f>"600167"</f>
        <v>600167</v>
      </c>
      <c r="B138" t="s">
        <v>256</v>
      </c>
      <c r="C138">
        <v>0.17</v>
      </c>
      <c r="D138">
        <v>11.45</v>
      </c>
      <c r="E138">
        <v>0.02</v>
      </c>
      <c r="F138">
        <v>11.45</v>
      </c>
      <c r="G138">
        <v>11.47</v>
      </c>
      <c r="H138">
        <v>12941</v>
      </c>
      <c r="I138">
        <v>1</v>
      </c>
      <c r="J138">
        <v>0.08</v>
      </c>
      <c r="K138">
        <v>0.61</v>
      </c>
      <c r="L138">
        <v>11.27</v>
      </c>
      <c r="M138">
        <v>11.48</v>
      </c>
      <c r="N138">
        <v>11.23</v>
      </c>
      <c r="O138">
        <v>11.43</v>
      </c>
      <c r="P138">
        <v>22.41</v>
      </c>
      <c r="Q138">
        <v>14748779</v>
      </c>
      <c r="R138">
        <v>0.5</v>
      </c>
      <c r="S138" t="s">
        <v>257</v>
      </c>
      <c r="T138" t="s">
        <v>142</v>
      </c>
      <c r="U138">
        <v>2.19</v>
      </c>
      <c r="V138">
        <v>11.4</v>
      </c>
      <c r="W138">
        <v>7333</v>
      </c>
      <c r="X138">
        <v>5608</v>
      </c>
      <c r="Y138">
        <v>1.31</v>
      </c>
      <c r="Z138">
        <v>209</v>
      </c>
      <c r="AA138">
        <v>167</v>
      </c>
      <c r="AB138" t="s">
        <v>31</v>
      </c>
    </row>
    <row r="139" spans="1:28">
      <c r="A139" t="str">
        <f>"600168"</f>
        <v>600168</v>
      </c>
      <c r="B139" t="s">
        <v>258</v>
      </c>
      <c r="C139">
        <v>1.3</v>
      </c>
      <c r="D139">
        <v>7.79</v>
      </c>
      <c r="E139">
        <v>0.1</v>
      </c>
      <c r="F139">
        <v>7.79</v>
      </c>
      <c r="G139">
        <v>7.8</v>
      </c>
      <c r="H139">
        <v>75347</v>
      </c>
      <c r="I139">
        <v>200</v>
      </c>
      <c r="J139">
        <v>0</v>
      </c>
      <c r="K139">
        <v>1.71</v>
      </c>
      <c r="L139">
        <v>7.62</v>
      </c>
      <c r="M139">
        <v>7.84</v>
      </c>
      <c r="N139">
        <v>7.44</v>
      </c>
      <c r="O139">
        <v>7.69</v>
      </c>
      <c r="P139">
        <v>71.31</v>
      </c>
      <c r="Q139">
        <v>57897616</v>
      </c>
      <c r="R139">
        <v>0.78</v>
      </c>
      <c r="S139" t="s">
        <v>259</v>
      </c>
      <c r="T139" t="s">
        <v>37</v>
      </c>
      <c r="U139">
        <v>5.2</v>
      </c>
      <c r="V139">
        <v>7.68</v>
      </c>
      <c r="W139">
        <v>35800</v>
      </c>
      <c r="X139">
        <v>39547</v>
      </c>
      <c r="Y139">
        <v>0.91</v>
      </c>
      <c r="Z139">
        <v>86</v>
      </c>
      <c r="AA139">
        <v>2149</v>
      </c>
      <c r="AB139" t="s">
        <v>31</v>
      </c>
    </row>
    <row r="140" spans="1:28">
      <c r="A140" t="str">
        <f>"600169"</f>
        <v>600169</v>
      </c>
      <c r="B140" t="s">
        <v>260</v>
      </c>
      <c r="C140">
        <v>6.34</v>
      </c>
      <c r="D140">
        <v>3.69</v>
      </c>
      <c r="E140">
        <v>0.22</v>
      </c>
      <c r="F140">
        <v>3.69</v>
      </c>
      <c r="G140">
        <v>3.7</v>
      </c>
      <c r="H140">
        <v>808415</v>
      </c>
      <c r="I140">
        <v>52</v>
      </c>
      <c r="J140">
        <v>0.81</v>
      </c>
      <c r="K140">
        <v>3.34</v>
      </c>
      <c r="L140">
        <v>3.49</v>
      </c>
      <c r="M140">
        <v>3.73</v>
      </c>
      <c r="N140">
        <v>3.41</v>
      </c>
      <c r="O140">
        <v>3.47</v>
      </c>
      <c r="P140" t="s">
        <v>31</v>
      </c>
      <c r="Q140">
        <v>290800448</v>
      </c>
      <c r="R140">
        <v>0.71</v>
      </c>
      <c r="S140" t="s">
        <v>75</v>
      </c>
      <c r="T140" t="s">
        <v>212</v>
      </c>
      <c r="U140">
        <v>9.2200000000000006</v>
      </c>
      <c r="V140">
        <v>3.6</v>
      </c>
      <c r="W140">
        <v>374735</v>
      </c>
      <c r="X140">
        <v>433680</v>
      </c>
      <c r="Y140">
        <v>0.86</v>
      </c>
      <c r="Z140">
        <v>885</v>
      </c>
      <c r="AA140">
        <v>9039</v>
      </c>
      <c r="AB140" t="s">
        <v>31</v>
      </c>
    </row>
    <row r="141" spans="1:28">
      <c r="A141" t="str">
        <f>"600170"</f>
        <v>600170</v>
      </c>
      <c r="B141" t="s">
        <v>261</v>
      </c>
      <c r="C141">
        <v>1.59</v>
      </c>
      <c r="D141">
        <v>6.39</v>
      </c>
      <c r="E141">
        <v>0.1</v>
      </c>
      <c r="F141">
        <v>6.38</v>
      </c>
      <c r="G141">
        <v>6.39</v>
      </c>
      <c r="H141">
        <v>92074</v>
      </c>
      <c r="I141">
        <v>8</v>
      </c>
      <c r="J141">
        <v>0.31</v>
      </c>
      <c r="K141">
        <v>1.0900000000000001</v>
      </c>
      <c r="L141">
        <v>6.33</v>
      </c>
      <c r="M141">
        <v>6.4</v>
      </c>
      <c r="N141">
        <v>6.22</v>
      </c>
      <c r="O141">
        <v>6.29</v>
      </c>
      <c r="P141">
        <v>11.33</v>
      </c>
      <c r="Q141">
        <v>57995956</v>
      </c>
      <c r="R141">
        <v>0.62</v>
      </c>
      <c r="S141" t="s">
        <v>87</v>
      </c>
      <c r="T141" t="s">
        <v>30</v>
      </c>
      <c r="U141">
        <v>2.86</v>
      </c>
      <c r="V141">
        <v>6.3</v>
      </c>
      <c r="W141">
        <v>47734</v>
      </c>
      <c r="X141">
        <v>44340</v>
      </c>
      <c r="Y141">
        <v>1.08</v>
      </c>
      <c r="Z141">
        <v>451</v>
      </c>
      <c r="AA141">
        <v>55</v>
      </c>
      <c r="AB141" t="s">
        <v>31</v>
      </c>
    </row>
    <row r="142" spans="1:28">
      <c r="A142" t="str">
        <f>"600171"</f>
        <v>600171</v>
      </c>
      <c r="B142" t="s">
        <v>262</v>
      </c>
      <c r="C142">
        <v>0.55000000000000004</v>
      </c>
      <c r="D142">
        <v>7.32</v>
      </c>
      <c r="E142">
        <v>0.04</v>
      </c>
      <c r="F142">
        <v>7.33</v>
      </c>
      <c r="G142">
        <v>7.34</v>
      </c>
      <c r="H142">
        <v>93311</v>
      </c>
      <c r="I142">
        <v>110</v>
      </c>
      <c r="J142">
        <v>0</v>
      </c>
      <c r="K142">
        <v>1.38</v>
      </c>
      <c r="L142">
        <v>7.31</v>
      </c>
      <c r="M142">
        <v>7.4</v>
      </c>
      <c r="N142">
        <v>7.06</v>
      </c>
      <c r="O142">
        <v>7.28</v>
      </c>
      <c r="P142">
        <v>203.68</v>
      </c>
      <c r="Q142">
        <v>67383384</v>
      </c>
      <c r="R142">
        <v>0.55000000000000004</v>
      </c>
      <c r="S142" t="s">
        <v>241</v>
      </c>
      <c r="T142" t="s">
        <v>30</v>
      </c>
      <c r="U142">
        <v>4.67</v>
      </c>
      <c r="V142">
        <v>7.22</v>
      </c>
      <c r="W142">
        <v>48418</v>
      </c>
      <c r="X142">
        <v>44893</v>
      </c>
      <c r="Y142">
        <v>1.08</v>
      </c>
      <c r="Z142">
        <v>10</v>
      </c>
      <c r="AA142">
        <v>350</v>
      </c>
      <c r="AB142" t="s">
        <v>31</v>
      </c>
    </row>
    <row r="143" spans="1:28">
      <c r="A143" t="str">
        <f>"600172"</f>
        <v>600172</v>
      </c>
      <c r="B143" t="s">
        <v>263</v>
      </c>
      <c r="C143">
        <v>2.48</v>
      </c>
      <c r="D143">
        <v>6.6</v>
      </c>
      <c r="E143">
        <v>0.16</v>
      </c>
      <c r="F143">
        <v>6.58</v>
      </c>
      <c r="G143">
        <v>6.59</v>
      </c>
      <c r="H143">
        <v>64618</v>
      </c>
      <c r="I143">
        <v>16</v>
      </c>
      <c r="J143">
        <v>0.15</v>
      </c>
      <c r="K143">
        <v>1.3</v>
      </c>
      <c r="L143">
        <v>6.45</v>
      </c>
      <c r="M143">
        <v>6.64</v>
      </c>
      <c r="N143">
        <v>6.4</v>
      </c>
      <c r="O143">
        <v>6.44</v>
      </c>
      <c r="P143">
        <v>18.940000000000001</v>
      </c>
      <c r="Q143">
        <v>42292288</v>
      </c>
      <c r="R143">
        <v>0.63</v>
      </c>
      <c r="S143" t="s">
        <v>264</v>
      </c>
      <c r="T143" t="s">
        <v>61</v>
      </c>
      <c r="U143">
        <v>3.73</v>
      </c>
      <c r="V143">
        <v>6.54</v>
      </c>
      <c r="W143">
        <v>27451</v>
      </c>
      <c r="X143">
        <v>37167</v>
      </c>
      <c r="Y143">
        <v>0.74</v>
      </c>
      <c r="Z143">
        <v>160</v>
      </c>
      <c r="AA143">
        <v>13</v>
      </c>
      <c r="AB143" t="s">
        <v>31</v>
      </c>
    </row>
    <row r="144" spans="1:28">
      <c r="A144" t="str">
        <f>"600173"</f>
        <v>600173</v>
      </c>
      <c r="B144" t="s">
        <v>265</v>
      </c>
      <c r="C144">
        <v>1.37</v>
      </c>
      <c r="D144">
        <v>2.95</v>
      </c>
      <c r="E144">
        <v>0.04</v>
      </c>
      <c r="F144">
        <v>2.95</v>
      </c>
      <c r="G144">
        <v>2.96</v>
      </c>
      <c r="H144">
        <v>36625</v>
      </c>
      <c r="I144">
        <v>42</v>
      </c>
      <c r="J144">
        <v>0</v>
      </c>
      <c r="K144">
        <v>0.51</v>
      </c>
      <c r="L144">
        <v>2.9</v>
      </c>
      <c r="M144">
        <v>2.96</v>
      </c>
      <c r="N144">
        <v>2.79</v>
      </c>
      <c r="O144">
        <v>2.91</v>
      </c>
      <c r="P144">
        <v>22.67</v>
      </c>
      <c r="Q144">
        <v>10636665</v>
      </c>
      <c r="R144">
        <v>0.97</v>
      </c>
      <c r="S144" t="s">
        <v>90</v>
      </c>
      <c r="T144" t="s">
        <v>85</v>
      </c>
      <c r="U144">
        <v>5.84</v>
      </c>
      <c r="V144">
        <v>2.9</v>
      </c>
      <c r="W144">
        <v>16813</v>
      </c>
      <c r="X144">
        <v>19812</v>
      </c>
      <c r="Y144">
        <v>0.85</v>
      </c>
      <c r="Z144">
        <v>643</v>
      </c>
      <c r="AA144">
        <v>681</v>
      </c>
      <c r="AB144" t="s">
        <v>31</v>
      </c>
    </row>
    <row r="145" spans="1:28">
      <c r="A145" t="str">
        <f>"600175"</f>
        <v>600175</v>
      </c>
      <c r="B145" t="s">
        <v>266</v>
      </c>
      <c r="C145">
        <v>0.37</v>
      </c>
      <c r="D145">
        <v>5.39</v>
      </c>
      <c r="E145">
        <v>0.02</v>
      </c>
      <c r="F145">
        <v>5.39</v>
      </c>
      <c r="G145">
        <v>5.4</v>
      </c>
      <c r="H145">
        <v>213130</v>
      </c>
      <c r="I145">
        <v>51</v>
      </c>
      <c r="J145">
        <v>0.18</v>
      </c>
      <c r="K145">
        <v>1.55</v>
      </c>
      <c r="L145">
        <v>5.37</v>
      </c>
      <c r="M145">
        <v>5.43</v>
      </c>
      <c r="N145">
        <v>5.22</v>
      </c>
      <c r="O145">
        <v>5.37</v>
      </c>
      <c r="P145">
        <v>41.15</v>
      </c>
      <c r="Q145">
        <v>113807472</v>
      </c>
      <c r="R145">
        <v>0.63</v>
      </c>
      <c r="S145" t="s">
        <v>90</v>
      </c>
      <c r="T145" t="s">
        <v>95</v>
      </c>
      <c r="U145">
        <v>3.91</v>
      </c>
      <c r="V145">
        <v>5.34</v>
      </c>
      <c r="W145">
        <v>119439</v>
      </c>
      <c r="X145">
        <v>93691</v>
      </c>
      <c r="Y145">
        <v>1.27</v>
      </c>
      <c r="Z145">
        <v>11</v>
      </c>
      <c r="AA145">
        <v>2904</v>
      </c>
      <c r="AB145" t="s">
        <v>31</v>
      </c>
    </row>
    <row r="146" spans="1:28">
      <c r="A146" t="str">
        <f>"600176"</f>
        <v>600176</v>
      </c>
      <c r="B146" t="s">
        <v>267</v>
      </c>
      <c r="C146">
        <v>0.84</v>
      </c>
      <c r="D146">
        <v>7.19</v>
      </c>
      <c r="E146">
        <v>0.06</v>
      </c>
      <c r="F146">
        <v>7.18</v>
      </c>
      <c r="G146">
        <v>7.2</v>
      </c>
      <c r="H146">
        <v>40548</v>
      </c>
      <c r="I146">
        <v>290</v>
      </c>
      <c r="J146">
        <v>0.27</v>
      </c>
      <c r="K146">
        <v>0.63</v>
      </c>
      <c r="L146">
        <v>7.11</v>
      </c>
      <c r="M146">
        <v>7.2</v>
      </c>
      <c r="N146">
        <v>7.1</v>
      </c>
      <c r="O146">
        <v>7.13</v>
      </c>
      <c r="P146">
        <v>27.62</v>
      </c>
      <c r="Q146">
        <v>28967780</v>
      </c>
      <c r="R146">
        <v>0.7</v>
      </c>
      <c r="S146" t="s">
        <v>268</v>
      </c>
      <c r="T146" t="s">
        <v>42</v>
      </c>
      <c r="U146">
        <v>1.4</v>
      </c>
      <c r="V146">
        <v>7.14</v>
      </c>
      <c r="W146">
        <v>18519</v>
      </c>
      <c r="X146">
        <v>22029</v>
      </c>
      <c r="Y146">
        <v>0.84</v>
      </c>
      <c r="Z146">
        <v>391</v>
      </c>
      <c r="AA146">
        <v>1779</v>
      </c>
      <c r="AB146" t="s">
        <v>31</v>
      </c>
    </row>
    <row r="147" spans="1:28">
      <c r="A147" t="str">
        <f>"600177"</f>
        <v>600177</v>
      </c>
      <c r="B147" t="s">
        <v>269</v>
      </c>
      <c r="C147">
        <v>1.98</v>
      </c>
      <c r="D147">
        <v>8.25</v>
      </c>
      <c r="E147">
        <v>0.16</v>
      </c>
      <c r="F147">
        <v>8.26</v>
      </c>
      <c r="G147">
        <v>8.27</v>
      </c>
      <c r="H147">
        <v>179470</v>
      </c>
      <c r="I147">
        <v>2</v>
      </c>
      <c r="J147">
        <v>0</v>
      </c>
      <c r="K147">
        <v>0.84</v>
      </c>
      <c r="L147">
        <v>8.1199999999999992</v>
      </c>
      <c r="M147">
        <v>8.27</v>
      </c>
      <c r="N147">
        <v>8.0500000000000007</v>
      </c>
      <c r="O147">
        <v>8.09</v>
      </c>
      <c r="P147">
        <v>9.57</v>
      </c>
      <c r="Q147">
        <v>146844304</v>
      </c>
      <c r="R147">
        <v>0.51</v>
      </c>
      <c r="S147" t="s">
        <v>158</v>
      </c>
      <c r="T147" t="s">
        <v>95</v>
      </c>
      <c r="U147">
        <v>2.72</v>
      </c>
      <c r="V147">
        <v>8.18</v>
      </c>
      <c r="W147">
        <v>89010</v>
      </c>
      <c r="X147">
        <v>90460</v>
      </c>
      <c r="Y147">
        <v>0.98</v>
      </c>
      <c r="Z147">
        <v>271</v>
      </c>
      <c r="AA147">
        <v>1006</v>
      </c>
      <c r="AB147" t="s">
        <v>31</v>
      </c>
    </row>
    <row r="148" spans="1:28">
      <c r="A148" t="str">
        <f>"600178"</f>
        <v>600178</v>
      </c>
      <c r="B148" t="s">
        <v>270</v>
      </c>
      <c r="C148">
        <v>1</v>
      </c>
      <c r="D148">
        <v>5.07</v>
      </c>
      <c r="E148">
        <v>0.05</v>
      </c>
      <c r="F148">
        <v>5.0599999999999996</v>
      </c>
      <c r="G148">
        <v>5.07</v>
      </c>
      <c r="H148">
        <v>16193</v>
      </c>
      <c r="I148">
        <v>15</v>
      </c>
      <c r="J148">
        <v>0.19</v>
      </c>
      <c r="K148">
        <v>0.35</v>
      </c>
      <c r="L148">
        <v>4.9800000000000004</v>
      </c>
      <c r="M148">
        <v>5.09</v>
      </c>
      <c r="N148">
        <v>4.96</v>
      </c>
      <c r="O148">
        <v>5.0199999999999996</v>
      </c>
      <c r="P148" t="s">
        <v>31</v>
      </c>
      <c r="Q148">
        <v>8178480</v>
      </c>
      <c r="R148">
        <v>0.57999999999999996</v>
      </c>
      <c r="S148" t="s">
        <v>39</v>
      </c>
      <c r="T148" t="s">
        <v>85</v>
      </c>
      <c r="U148">
        <v>2.59</v>
      </c>
      <c r="V148">
        <v>5.05</v>
      </c>
      <c r="W148">
        <v>8260</v>
      </c>
      <c r="X148">
        <v>7933</v>
      </c>
      <c r="Y148">
        <v>1.04</v>
      </c>
      <c r="Z148">
        <v>82</v>
      </c>
      <c r="AA148">
        <v>131</v>
      </c>
      <c r="AB148" t="s">
        <v>31</v>
      </c>
    </row>
    <row r="149" spans="1:28">
      <c r="A149" t="str">
        <f>"600179"</f>
        <v>600179</v>
      </c>
      <c r="B149" t="s">
        <v>271</v>
      </c>
      <c r="C149">
        <v>1.63</v>
      </c>
      <c r="D149">
        <v>5</v>
      </c>
      <c r="E149">
        <v>0.08</v>
      </c>
      <c r="F149">
        <v>5</v>
      </c>
      <c r="G149">
        <v>5.01</v>
      </c>
      <c r="H149">
        <v>40013</v>
      </c>
      <c r="I149">
        <v>30</v>
      </c>
      <c r="J149">
        <v>0</v>
      </c>
      <c r="K149">
        <v>1.03</v>
      </c>
      <c r="L149">
        <v>4.8600000000000003</v>
      </c>
      <c r="M149">
        <v>5.0599999999999996</v>
      </c>
      <c r="N149">
        <v>4.79</v>
      </c>
      <c r="O149">
        <v>4.92</v>
      </c>
      <c r="P149">
        <v>231.65</v>
      </c>
      <c r="Q149">
        <v>19856628</v>
      </c>
      <c r="R149">
        <v>0.74</v>
      </c>
      <c r="S149" t="s">
        <v>272</v>
      </c>
      <c r="T149" t="s">
        <v>85</v>
      </c>
      <c r="U149">
        <v>5.49</v>
      </c>
      <c r="V149">
        <v>4.96</v>
      </c>
      <c r="W149">
        <v>18042</v>
      </c>
      <c r="X149">
        <v>21971</v>
      </c>
      <c r="Y149">
        <v>0.82</v>
      </c>
      <c r="Z149">
        <v>33</v>
      </c>
      <c r="AA149">
        <v>456</v>
      </c>
      <c r="AB149" t="s">
        <v>31</v>
      </c>
    </row>
    <row r="150" spans="1:28">
      <c r="A150" t="str">
        <f>"600180"</f>
        <v>600180</v>
      </c>
      <c r="B150" t="s">
        <v>273</v>
      </c>
      <c r="C150">
        <v>1.41</v>
      </c>
      <c r="D150">
        <v>10.79</v>
      </c>
      <c r="E150">
        <v>0.15</v>
      </c>
      <c r="F150">
        <v>10.79</v>
      </c>
      <c r="G150">
        <v>10.8</v>
      </c>
      <c r="H150">
        <v>166764</v>
      </c>
      <c r="I150">
        <v>29</v>
      </c>
      <c r="J150">
        <v>0.09</v>
      </c>
      <c r="K150">
        <v>6.64</v>
      </c>
      <c r="L150">
        <v>10.49</v>
      </c>
      <c r="M150">
        <v>10.8</v>
      </c>
      <c r="N150">
        <v>10.43</v>
      </c>
      <c r="O150">
        <v>10.64</v>
      </c>
      <c r="P150">
        <v>48.42</v>
      </c>
      <c r="Q150">
        <v>178229104</v>
      </c>
      <c r="R150">
        <v>1.8</v>
      </c>
      <c r="S150" t="s">
        <v>107</v>
      </c>
      <c r="T150" t="s">
        <v>57</v>
      </c>
      <c r="U150">
        <v>3.48</v>
      </c>
      <c r="V150">
        <v>10.69</v>
      </c>
      <c r="W150">
        <v>35218</v>
      </c>
      <c r="X150">
        <v>131546</v>
      </c>
      <c r="Y150">
        <v>0.27</v>
      </c>
      <c r="Z150">
        <v>42</v>
      </c>
      <c r="AA150">
        <v>2181</v>
      </c>
      <c r="AB150" t="s">
        <v>31</v>
      </c>
    </row>
    <row r="151" spans="1:28">
      <c r="A151" t="str">
        <f>"600182"</f>
        <v>600182</v>
      </c>
      <c r="B151" t="s">
        <v>274</v>
      </c>
      <c r="C151">
        <v>-1.07</v>
      </c>
      <c r="D151">
        <v>11.99</v>
      </c>
      <c r="E151">
        <v>-0.13</v>
      </c>
      <c r="F151">
        <v>11.98</v>
      </c>
      <c r="G151">
        <v>11.99</v>
      </c>
      <c r="H151">
        <v>39407</v>
      </c>
      <c r="I151">
        <v>2</v>
      </c>
      <c r="J151">
        <v>0</v>
      </c>
      <c r="K151">
        <v>2.3199999999999998</v>
      </c>
      <c r="L151">
        <v>12.12</v>
      </c>
      <c r="M151">
        <v>12.17</v>
      </c>
      <c r="N151">
        <v>11.7</v>
      </c>
      <c r="O151">
        <v>12.12</v>
      </c>
      <c r="P151">
        <v>17.02</v>
      </c>
      <c r="Q151">
        <v>46791160</v>
      </c>
      <c r="R151">
        <v>1.2</v>
      </c>
      <c r="S151" t="s">
        <v>149</v>
      </c>
      <c r="T151" t="s">
        <v>85</v>
      </c>
      <c r="U151">
        <v>3.88</v>
      </c>
      <c r="V151">
        <v>11.87</v>
      </c>
      <c r="W151">
        <v>21785</v>
      </c>
      <c r="X151">
        <v>17622</v>
      </c>
      <c r="Y151">
        <v>1.24</v>
      </c>
      <c r="Z151">
        <v>1</v>
      </c>
      <c r="AA151">
        <v>51</v>
      </c>
      <c r="AB151" t="s">
        <v>31</v>
      </c>
    </row>
    <row r="152" spans="1:28">
      <c r="A152" t="str">
        <f>"600183"</f>
        <v>600183</v>
      </c>
      <c r="B152" t="s">
        <v>275</v>
      </c>
      <c r="C152">
        <v>2.29</v>
      </c>
      <c r="D152">
        <v>5.37</v>
      </c>
      <c r="E152">
        <v>0.12</v>
      </c>
      <c r="F152">
        <v>5.37</v>
      </c>
      <c r="G152">
        <v>5.38</v>
      </c>
      <c r="H152">
        <v>41012</v>
      </c>
      <c r="I152">
        <v>200</v>
      </c>
      <c r="J152">
        <v>0</v>
      </c>
      <c r="K152">
        <v>0.28999999999999998</v>
      </c>
      <c r="L152">
        <v>5.21</v>
      </c>
      <c r="M152">
        <v>5.38</v>
      </c>
      <c r="N152">
        <v>5.2</v>
      </c>
      <c r="O152">
        <v>5.25</v>
      </c>
      <c r="P152">
        <v>19.350000000000001</v>
      </c>
      <c r="Q152">
        <v>21799640</v>
      </c>
      <c r="R152">
        <v>0.66</v>
      </c>
      <c r="S152" t="s">
        <v>153</v>
      </c>
      <c r="T152" t="s">
        <v>34</v>
      </c>
      <c r="U152">
        <v>3.43</v>
      </c>
      <c r="V152">
        <v>5.32</v>
      </c>
      <c r="W152">
        <v>17701</v>
      </c>
      <c r="X152">
        <v>23311</v>
      </c>
      <c r="Y152">
        <v>0.76</v>
      </c>
      <c r="Z152">
        <v>258</v>
      </c>
      <c r="AA152">
        <v>938</v>
      </c>
      <c r="AB152" t="s">
        <v>31</v>
      </c>
    </row>
    <row r="153" spans="1:28">
      <c r="A153" t="str">
        <f>"600184"</f>
        <v>600184</v>
      </c>
      <c r="B153" t="s">
        <v>276</v>
      </c>
      <c r="C153">
        <v>0.78</v>
      </c>
      <c r="D153">
        <v>21.95</v>
      </c>
      <c r="E153">
        <v>0.17</v>
      </c>
      <c r="F153">
        <v>21.94</v>
      </c>
      <c r="G153">
        <v>21.95</v>
      </c>
      <c r="H153">
        <v>38818</v>
      </c>
      <c r="I153">
        <v>23</v>
      </c>
      <c r="J153">
        <v>0.22</v>
      </c>
      <c r="K153">
        <v>3.3</v>
      </c>
      <c r="L153">
        <v>21.6</v>
      </c>
      <c r="M153">
        <v>22</v>
      </c>
      <c r="N153">
        <v>21.33</v>
      </c>
      <c r="O153">
        <v>21.78</v>
      </c>
      <c r="P153">
        <v>51.49</v>
      </c>
      <c r="Q153">
        <v>84347936</v>
      </c>
      <c r="R153">
        <v>1.65</v>
      </c>
      <c r="S153" t="s">
        <v>268</v>
      </c>
      <c r="T153" t="s">
        <v>37</v>
      </c>
      <c r="U153">
        <v>3.08</v>
      </c>
      <c r="V153">
        <v>21.73</v>
      </c>
      <c r="W153">
        <v>16110</v>
      </c>
      <c r="X153">
        <v>22708</v>
      </c>
      <c r="Y153">
        <v>0.71</v>
      </c>
      <c r="Z153">
        <v>11</v>
      </c>
      <c r="AA153">
        <v>63</v>
      </c>
      <c r="AB153" t="s">
        <v>31</v>
      </c>
    </row>
    <row r="154" spans="1:28">
      <c r="A154" t="str">
        <f>"600185"</f>
        <v>600185</v>
      </c>
      <c r="B154" t="s">
        <v>277</v>
      </c>
      <c r="C154">
        <v>1.23</v>
      </c>
      <c r="D154">
        <v>7.43</v>
      </c>
      <c r="E154">
        <v>0.09</v>
      </c>
      <c r="F154">
        <v>7.44</v>
      </c>
      <c r="G154">
        <v>7.45</v>
      </c>
      <c r="H154">
        <v>93343</v>
      </c>
      <c r="I154">
        <v>200</v>
      </c>
      <c r="J154">
        <v>-0.13</v>
      </c>
      <c r="K154">
        <v>1.62</v>
      </c>
      <c r="L154">
        <v>7.28</v>
      </c>
      <c r="M154">
        <v>7.49</v>
      </c>
      <c r="N154">
        <v>7.16</v>
      </c>
      <c r="O154">
        <v>7.34</v>
      </c>
      <c r="P154">
        <v>11.41</v>
      </c>
      <c r="Q154">
        <v>68726272</v>
      </c>
      <c r="R154">
        <v>0.92</v>
      </c>
      <c r="S154" t="s">
        <v>97</v>
      </c>
      <c r="T154" t="s">
        <v>34</v>
      </c>
      <c r="U154">
        <v>4.5</v>
      </c>
      <c r="V154">
        <v>7.36</v>
      </c>
      <c r="W154">
        <v>57540</v>
      </c>
      <c r="X154">
        <v>35803</v>
      </c>
      <c r="Y154">
        <v>1.61</v>
      </c>
      <c r="Z154">
        <v>625</v>
      </c>
      <c r="AA154">
        <v>658</v>
      </c>
      <c r="AB154" t="s">
        <v>31</v>
      </c>
    </row>
    <row r="155" spans="1:28">
      <c r="A155" t="str">
        <f>"600186"</f>
        <v>600186</v>
      </c>
      <c r="B155" t="s">
        <v>278</v>
      </c>
      <c r="C155">
        <v>1.0900000000000001</v>
      </c>
      <c r="D155">
        <v>2.77</v>
      </c>
      <c r="E155">
        <v>0.03</v>
      </c>
      <c r="F155">
        <v>2.76</v>
      </c>
      <c r="G155">
        <v>2.77</v>
      </c>
      <c r="H155">
        <v>90442</v>
      </c>
      <c r="I155">
        <v>116</v>
      </c>
      <c r="J155">
        <v>0.36</v>
      </c>
      <c r="K155">
        <v>0.92</v>
      </c>
      <c r="L155">
        <v>2.74</v>
      </c>
      <c r="M155">
        <v>2.79</v>
      </c>
      <c r="N155">
        <v>2.72</v>
      </c>
      <c r="O155">
        <v>2.74</v>
      </c>
      <c r="P155" t="s">
        <v>31</v>
      </c>
      <c r="Q155">
        <v>24954120</v>
      </c>
      <c r="R155">
        <v>0.63</v>
      </c>
      <c r="S155" t="s">
        <v>133</v>
      </c>
      <c r="T155" t="s">
        <v>61</v>
      </c>
      <c r="U155">
        <v>2.5499999999999998</v>
      </c>
      <c r="V155">
        <v>2.76</v>
      </c>
      <c r="W155">
        <v>52042</v>
      </c>
      <c r="X155">
        <v>38400</v>
      </c>
      <c r="Y155">
        <v>1.36</v>
      </c>
      <c r="Z155">
        <v>761</v>
      </c>
      <c r="AA155">
        <v>2279</v>
      </c>
      <c r="AB155" t="s">
        <v>31</v>
      </c>
    </row>
    <row r="156" spans="1:28">
      <c r="A156" t="str">
        <f>"600187"</f>
        <v>600187</v>
      </c>
      <c r="B156" t="s">
        <v>279</v>
      </c>
      <c r="C156">
        <v>-0.2</v>
      </c>
      <c r="D156">
        <v>5.01</v>
      </c>
      <c r="E156">
        <v>-0.01</v>
      </c>
      <c r="F156">
        <v>5</v>
      </c>
      <c r="G156">
        <v>5.01</v>
      </c>
      <c r="H156">
        <v>190257</v>
      </c>
      <c r="I156">
        <v>103</v>
      </c>
      <c r="J156">
        <v>0</v>
      </c>
      <c r="K156">
        <v>1.78</v>
      </c>
      <c r="L156">
        <v>4.9800000000000004</v>
      </c>
      <c r="M156">
        <v>5.05</v>
      </c>
      <c r="N156">
        <v>4.87</v>
      </c>
      <c r="O156">
        <v>5.0199999999999996</v>
      </c>
      <c r="P156">
        <v>103.1</v>
      </c>
      <c r="Q156">
        <v>94436864</v>
      </c>
      <c r="R156">
        <v>0.62</v>
      </c>
      <c r="S156" t="s">
        <v>259</v>
      </c>
      <c r="T156" t="s">
        <v>85</v>
      </c>
      <c r="U156">
        <v>3.59</v>
      </c>
      <c r="V156">
        <v>4.96</v>
      </c>
      <c r="W156">
        <v>104152</v>
      </c>
      <c r="X156">
        <v>86105</v>
      </c>
      <c r="Y156">
        <v>1.21</v>
      </c>
      <c r="Z156">
        <v>651</v>
      </c>
      <c r="AA156">
        <v>281</v>
      </c>
      <c r="AB156" t="s">
        <v>31</v>
      </c>
    </row>
    <row r="157" spans="1:28">
      <c r="A157" t="str">
        <f>"600188"</f>
        <v>600188</v>
      </c>
      <c r="B157" t="s">
        <v>280</v>
      </c>
      <c r="C157">
        <v>1.27</v>
      </c>
      <c r="D157">
        <v>10.33</v>
      </c>
      <c r="E157">
        <v>0.13</v>
      </c>
      <c r="F157">
        <v>10.32</v>
      </c>
      <c r="G157">
        <v>10.33</v>
      </c>
      <c r="H157">
        <v>53460</v>
      </c>
      <c r="I157">
        <v>2</v>
      </c>
      <c r="J157">
        <v>0.28999999999999998</v>
      </c>
      <c r="K157">
        <v>0.18</v>
      </c>
      <c r="L157">
        <v>10.23</v>
      </c>
      <c r="M157">
        <v>10.38</v>
      </c>
      <c r="N157">
        <v>10.02</v>
      </c>
      <c r="O157">
        <v>10.199999999999999</v>
      </c>
      <c r="P157" t="s">
        <v>31</v>
      </c>
      <c r="Q157">
        <v>54713968</v>
      </c>
      <c r="R157">
        <v>0.62</v>
      </c>
      <c r="S157" t="s">
        <v>208</v>
      </c>
      <c r="T157" t="s">
        <v>57</v>
      </c>
      <c r="U157">
        <v>3.53</v>
      </c>
      <c r="V157">
        <v>10.23</v>
      </c>
      <c r="W157">
        <v>26775</v>
      </c>
      <c r="X157">
        <v>26685</v>
      </c>
      <c r="Y157">
        <v>1</v>
      </c>
      <c r="Z157">
        <v>7</v>
      </c>
      <c r="AA157">
        <v>61</v>
      </c>
      <c r="AB157" t="s">
        <v>31</v>
      </c>
    </row>
    <row r="158" spans="1:28">
      <c r="A158" t="str">
        <f>"600189"</f>
        <v>600189</v>
      </c>
      <c r="B158" t="s">
        <v>281</v>
      </c>
      <c r="C158">
        <v>2.9</v>
      </c>
      <c r="D158">
        <v>7.81</v>
      </c>
      <c r="E158">
        <v>0.22</v>
      </c>
      <c r="F158">
        <v>7.82</v>
      </c>
      <c r="G158">
        <v>7.83</v>
      </c>
      <c r="H158">
        <v>94573</v>
      </c>
      <c r="I158">
        <v>25</v>
      </c>
      <c r="J158">
        <v>-0.38</v>
      </c>
      <c r="K158">
        <v>3.05</v>
      </c>
      <c r="L158">
        <v>7.6</v>
      </c>
      <c r="M158">
        <v>7.98</v>
      </c>
      <c r="N158">
        <v>7.52</v>
      </c>
      <c r="O158">
        <v>7.59</v>
      </c>
      <c r="P158">
        <v>138.47</v>
      </c>
      <c r="Q158">
        <v>73945376</v>
      </c>
      <c r="R158">
        <v>1.75</v>
      </c>
      <c r="S158" t="s">
        <v>282</v>
      </c>
      <c r="T158" t="s">
        <v>191</v>
      </c>
      <c r="U158">
        <v>6.06</v>
      </c>
      <c r="V158">
        <v>7.82</v>
      </c>
      <c r="W158">
        <v>44556</v>
      </c>
      <c r="X158">
        <v>50017</v>
      </c>
      <c r="Y158">
        <v>0.89</v>
      </c>
      <c r="Z158">
        <v>13</v>
      </c>
      <c r="AA158">
        <v>90</v>
      </c>
      <c r="AB158" t="s">
        <v>31</v>
      </c>
    </row>
    <row r="159" spans="1:28">
      <c r="A159" t="str">
        <f>"600190"</f>
        <v>600190</v>
      </c>
      <c r="B159" t="s">
        <v>283</v>
      </c>
      <c r="C159">
        <v>2.13</v>
      </c>
      <c r="D159">
        <v>3.83</v>
      </c>
      <c r="E159">
        <v>0.08</v>
      </c>
      <c r="F159">
        <v>3.82</v>
      </c>
      <c r="G159">
        <v>3.83</v>
      </c>
      <c r="H159">
        <v>21963</v>
      </c>
      <c r="I159">
        <v>5</v>
      </c>
      <c r="J159">
        <v>0.26</v>
      </c>
      <c r="K159">
        <v>0.16</v>
      </c>
      <c r="L159">
        <v>3.74</v>
      </c>
      <c r="M159">
        <v>3.88</v>
      </c>
      <c r="N159">
        <v>3.73</v>
      </c>
      <c r="O159">
        <v>3.75</v>
      </c>
      <c r="P159">
        <v>31.28</v>
      </c>
      <c r="Q159">
        <v>8323870</v>
      </c>
      <c r="R159">
        <v>1.06</v>
      </c>
      <c r="S159" t="s">
        <v>56</v>
      </c>
      <c r="T159" t="s">
        <v>142</v>
      </c>
      <c r="U159">
        <v>4</v>
      </c>
      <c r="V159">
        <v>3.79</v>
      </c>
      <c r="W159">
        <v>9483</v>
      </c>
      <c r="X159">
        <v>12480</v>
      </c>
      <c r="Y159">
        <v>0.76</v>
      </c>
      <c r="Z159">
        <v>102</v>
      </c>
      <c r="AA159">
        <v>152</v>
      </c>
      <c r="AB159" t="s">
        <v>31</v>
      </c>
    </row>
    <row r="160" spans="1:28">
      <c r="A160" t="str">
        <f>"600191"</f>
        <v>600191</v>
      </c>
      <c r="B160" t="s">
        <v>284</v>
      </c>
      <c r="C160">
        <v>0.97</v>
      </c>
      <c r="D160">
        <v>6.24</v>
      </c>
      <c r="E160">
        <v>0.06</v>
      </c>
      <c r="F160">
        <v>6.24</v>
      </c>
      <c r="G160">
        <v>6.25</v>
      </c>
      <c r="H160">
        <v>17270</v>
      </c>
      <c r="I160">
        <v>156</v>
      </c>
      <c r="J160">
        <v>0.16</v>
      </c>
      <c r="K160">
        <v>0.36</v>
      </c>
      <c r="L160">
        <v>6.17</v>
      </c>
      <c r="M160">
        <v>6.24</v>
      </c>
      <c r="N160">
        <v>6.14</v>
      </c>
      <c r="O160">
        <v>6.18</v>
      </c>
      <c r="P160">
        <v>59.99</v>
      </c>
      <c r="Q160">
        <v>10684761</v>
      </c>
      <c r="R160">
        <v>0.55000000000000004</v>
      </c>
      <c r="S160" t="s">
        <v>133</v>
      </c>
      <c r="T160" t="s">
        <v>47</v>
      </c>
      <c r="U160">
        <v>1.62</v>
      </c>
      <c r="V160">
        <v>6.19</v>
      </c>
      <c r="W160">
        <v>8254</v>
      </c>
      <c r="X160">
        <v>9016</v>
      </c>
      <c r="Y160">
        <v>0.92</v>
      </c>
      <c r="Z160">
        <v>9</v>
      </c>
      <c r="AA160">
        <v>260</v>
      </c>
      <c r="AB160" t="s">
        <v>31</v>
      </c>
    </row>
    <row r="161" spans="1:28">
      <c r="A161" t="str">
        <f>"600192"</f>
        <v>600192</v>
      </c>
      <c r="B161" t="s">
        <v>285</v>
      </c>
      <c r="C161">
        <v>1.73</v>
      </c>
      <c r="D161">
        <v>7.04</v>
      </c>
      <c r="E161">
        <v>0.12</v>
      </c>
      <c r="F161">
        <v>7.03</v>
      </c>
      <c r="G161">
        <v>7.04</v>
      </c>
      <c r="H161">
        <v>17603</v>
      </c>
      <c r="I161">
        <v>70</v>
      </c>
      <c r="J161">
        <v>-0.14000000000000001</v>
      </c>
      <c r="K161">
        <v>0.52</v>
      </c>
      <c r="L161">
        <v>6.92</v>
      </c>
      <c r="M161">
        <v>7.06</v>
      </c>
      <c r="N161">
        <v>6.92</v>
      </c>
      <c r="O161">
        <v>6.92</v>
      </c>
      <c r="P161">
        <v>37.200000000000003</v>
      </c>
      <c r="Q161">
        <v>12356327</v>
      </c>
      <c r="R161">
        <v>0.62</v>
      </c>
      <c r="S161" t="s">
        <v>161</v>
      </c>
      <c r="T161" t="s">
        <v>188</v>
      </c>
      <c r="U161">
        <v>2.02</v>
      </c>
      <c r="V161">
        <v>7.02</v>
      </c>
      <c r="W161">
        <v>8008</v>
      </c>
      <c r="X161">
        <v>9595</v>
      </c>
      <c r="Y161">
        <v>0.83</v>
      </c>
      <c r="Z161">
        <v>258</v>
      </c>
      <c r="AA161">
        <v>120</v>
      </c>
      <c r="AB161" t="s">
        <v>31</v>
      </c>
    </row>
    <row r="162" spans="1:28">
      <c r="A162" t="str">
        <f>"600193"</f>
        <v>600193</v>
      </c>
      <c r="B162" t="s">
        <v>286</v>
      </c>
      <c r="C162">
        <v>3.82</v>
      </c>
      <c r="D162">
        <v>8.43</v>
      </c>
      <c r="E162">
        <v>0.31</v>
      </c>
      <c r="F162">
        <v>8.42</v>
      </c>
      <c r="G162">
        <v>8.43</v>
      </c>
      <c r="H162">
        <v>40851</v>
      </c>
      <c r="I162">
        <v>15</v>
      </c>
      <c r="J162">
        <v>0.11</v>
      </c>
      <c r="K162">
        <v>1.25</v>
      </c>
      <c r="L162">
        <v>8.1</v>
      </c>
      <c r="M162">
        <v>8.44</v>
      </c>
      <c r="N162">
        <v>8.1</v>
      </c>
      <c r="O162">
        <v>8.1199999999999992</v>
      </c>
      <c r="P162">
        <v>22.99</v>
      </c>
      <c r="Q162">
        <v>34135108</v>
      </c>
      <c r="R162">
        <v>0.68</v>
      </c>
      <c r="S162" t="s">
        <v>36</v>
      </c>
      <c r="T162" t="s">
        <v>30</v>
      </c>
      <c r="U162">
        <v>4.1900000000000004</v>
      </c>
      <c r="V162">
        <v>8.36</v>
      </c>
      <c r="W162">
        <v>16181</v>
      </c>
      <c r="X162">
        <v>24670</v>
      </c>
      <c r="Y162">
        <v>0.66</v>
      </c>
      <c r="Z162">
        <v>43</v>
      </c>
      <c r="AA162">
        <v>141</v>
      </c>
      <c r="AB162" t="s">
        <v>31</v>
      </c>
    </row>
    <row r="163" spans="1:28">
      <c r="A163" t="str">
        <f>"600195"</f>
        <v>600195</v>
      </c>
      <c r="B163" t="s">
        <v>287</v>
      </c>
      <c r="C163">
        <v>0.86</v>
      </c>
      <c r="D163">
        <v>12.97</v>
      </c>
      <c r="E163">
        <v>0.11</v>
      </c>
      <c r="F163">
        <v>12.96</v>
      </c>
      <c r="G163">
        <v>12.97</v>
      </c>
      <c r="H163">
        <v>24689</v>
      </c>
      <c r="I163">
        <v>10</v>
      </c>
      <c r="J163">
        <v>-7.0000000000000007E-2</v>
      </c>
      <c r="K163">
        <v>0.63</v>
      </c>
      <c r="L163">
        <v>12.86</v>
      </c>
      <c r="M163">
        <v>13.02</v>
      </c>
      <c r="N163">
        <v>12.67</v>
      </c>
      <c r="O163">
        <v>12.86</v>
      </c>
      <c r="P163">
        <v>15.68</v>
      </c>
      <c r="Q163">
        <v>31717816</v>
      </c>
      <c r="R163">
        <v>0.7</v>
      </c>
      <c r="S163" t="s">
        <v>288</v>
      </c>
      <c r="T163" t="s">
        <v>42</v>
      </c>
      <c r="U163">
        <v>2.72</v>
      </c>
      <c r="V163">
        <v>12.85</v>
      </c>
      <c r="W163">
        <v>13591</v>
      </c>
      <c r="X163">
        <v>11098</v>
      </c>
      <c r="Y163">
        <v>1.22</v>
      </c>
      <c r="Z163">
        <v>76</v>
      </c>
      <c r="AA163">
        <v>19</v>
      </c>
      <c r="AB163" t="s">
        <v>31</v>
      </c>
    </row>
    <row r="164" spans="1:28">
      <c r="A164" t="str">
        <f>"600196"</f>
        <v>600196</v>
      </c>
      <c r="B164" t="s">
        <v>289</v>
      </c>
      <c r="C164">
        <v>2.97</v>
      </c>
      <c r="D164">
        <v>18.38</v>
      </c>
      <c r="E164">
        <v>0.53</v>
      </c>
      <c r="F164">
        <v>18.36</v>
      </c>
      <c r="G164">
        <v>18.399999999999999</v>
      </c>
      <c r="H164">
        <v>435434</v>
      </c>
      <c r="I164">
        <v>453</v>
      </c>
      <c r="J164">
        <v>0.1</v>
      </c>
      <c r="K164">
        <v>2.29</v>
      </c>
      <c r="L164">
        <v>17.899999999999999</v>
      </c>
      <c r="M164">
        <v>18.920000000000002</v>
      </c>
      <c r="N164">
        <v>17.760000000000002</v>
      </c>
      <c r="O164">
        <v>17.850000000000001</v>
      </c>
      <c r="P164">
        <v>19.55</v>
      </c>
      <c r="Q164">
        <v>802197440</v>
      </c>
      <c r="R164">
        <v>0.65</v>
      </c>
      <c r="S164" t="s">
        <v>145</v>
      </c>
      <c r="T164" t="s">
        <v>30</v>
      </c>
      <c r="U164">
        <v>6.5</v>
      </c>
      <c r="V164">
        <v>18.420000000000002</v>
      </c>
      <c r="W164">
        <v>208452</v>
      </c>
      <c r="X164">
        <v>226982</v>
      </c>
      <c r="Y164">
        <v>0.92</v>
      </c>
      <c r="Z164">
        <v>82</v>
      </c>
      <c r="AA164">
        <v>673</v>
      </c>
      <c r="AB164" t="s">
        <v>31</v>
      </c>
    </row>
    <row r="165" spans="1:28">
      <c r="A165" t="str">
        <f>"600197"</f>
        <v>600197</v>
      </c>
      <c r="B165" t="s">
        <v>290</v>
      </c>
      <c r="C165">
        <v>4.6399999999999997</v>
      </c>
      <c r="D165">
        <v>10.61</v>
      </c>
      <c r="E165">
        <v>0.47</v>
      </c>
      <c r="F165">
        <v>10.6</v>
      </c>
      <c r="G165">
        <v>10.61</v>
      </c>
      <c r="H165">
        <v>76284</v>
      </c>
      <c r="I165">
        <v>3</v>
      </c>
      <c r="J165">
        <v>0.09</v>
      </c>
      <c r="K165">
        <v>1.73</v>
      </c>
      <c r="L165">
        <v>10.5</v>
      </c>
      <c r="M165">
        <v>10.67</v>
      </c>
      <c r="N165">
        <v>10.35</v>
      </c>
      <c r="O165">
        <v>10.14</v>
      </c>
      <c r="P165">
        <v>14.47</v>
      </c>
      <c r="Q165">
        <v>80395864</v>
      </c>
      <c r="R165">
        <v>1.49</v>
      </c>
      <c r="S165" t="s">
        <v>291</v>
      </c>
      <c r="T165" t="s">
        <v>138</v>
      </c>
      <c r="U165">
        <v>3.16</v>
      </c>
      <c r="V165">
        <v>10.54</v>
      </c>
      <c r="W165">
        <v>38598</v>
      </c>
      <c r="X165">
        <v>37686</v>
      </c>
      <c r="Y165">
        <v>1.02</v>
      </c>
      <c r="Z165">
        <v>174</v>
      </c>
      <c r="AA165">
        <v>179</v>
      </c>
      <c r="AB165" t="s">
        <v>31</v>
      </c>
    </row>
    <row r="166" spans="1:28">
      <c r="A166" t="str">
        <f>"600198"</f>
        <v>600198</v>
      </c>
      <c r="B166" t="s">
        <v>292</v>
      </c>
      <c r="C166">
        <v>-0.59</v>
      </c>
      <c r="D166">
        <v>11.85</v>
      </c>
      <c r="E166">
        <v>-7.0000000000000007E-2</v>
      </c>
      <c r="F166">
        <v>11.84</v>
      </c>
      <c r="G166">
        <v>11.85</v>
      </c>
      <c r="H166">
        <v>92762</v>
      </c>
      <c r="I166">
        <v>16</v>
      </c>
      <c r="J166">
        <v>0.33</v>
      </c>
      <c r="K166">
        <v>2.12</v>
      </c>
      <c r="L166">
        <v>11.86</v>
      </c>
      <c r="M166">
        <v>11.93</v>
      </c>
      <c r="N166">
        <v>11.57</v>
      </c>
      <c r="O166">
        <v>11.92</v>
      </c>
      <c r="P166" t="s">
        <v>31</v>
      </c>
      <c r="Q166">
        <v>108813664</v>
      </c>
      <c r="R166">
        <v>1.23</v>
      </c>
      <c r="S166" t="s">
        <v>140</v>
      </c>
      <c r="T166" t="s">
        <v>42</v>
      </c>
      <c r="U166">
        <v>3.02</v>
      </c>
      <c r="V166">
        <v>11.73</v>
      </c>
      <c r="W166">
        <v>42811</v>
      </c>
      <c r="X166">
        <v>49951</v>
      </c>
      <c r="Y166">
        <v>0.86</v>
      </c>
      <c r="Z166">
        <v>5</v>
      </c>
      <c r="AA166">
        <v>355</v>
      </c>
      <c r="AB166" t="s">
        <v>31</v>
      </c>
    </row>
    <row r="167" spans="1:28">
      <c r="A167" t="str">
        <f>"600199"</f>
        <v>600199</v>
      </c>
      <c r="B167" t="s">
        <v>293</v>
      </c>
      <c r="C167">
        <v>0.32</v>
      </c>
      <c r="D167">
        <v>9.4499999999999993</v>
      </c>
      <c r="E167">
        <v>0.03</v>
      </c>
      <c r="F167">
        <v>9.44</v>
      </c>
      <c r="G167">
        <v>9.4499999999999993</v>
      </c>
      <c r="H167">
        <v>78794</v>
      </c>
      <c r="I167">
        <v>11</v>
      </c>
      <c r="J167">
        <v>0</v>
      </c>
      <c r="K167">
        <v>1.42</v>
      </c>
      <c r="L167">
        <v>9.35</v>
      </c>
      <c r="M167">
        <v>9.5</v>
      </c>
      <c r="N167">
        <v>9.26</v>
      </c>
      <c r="O167">
        <v>9.42</v>
      </c>
      <c r="P167">
        <v>14.42</v>
      </c>
      <c r="Q167">
        <v>73889160</v>
      </c>
      <c r="R167">
        <v>0.69</v>
      </c>
      <c r="S167" t="s">
        <v>291</v>
      </c>
      <c r="T167" t="s">
        <v>52</v>
      </c>
      <c r="U167">
        <v>2.5499999999999998</v>
      </c>
      <c r="V167">
        <v>9.3800000000000008</v>
      </c>
      <c r="W167">
        <v>40779</v>
      </c>
      <c r="X167">
        <v>38015</v>
      </c>
      <c r="Y167">
        <v>1.07</v>
      </c>
      <c r="Z167">
        <v>313</v>
      </c>
      <c r="AA167">
        <v>96</v>
      </c>
      <c r="AB167" t="s">
        <v>31</v>
      </c>
    </row>
    <row r="168" spans="1:28">
      <c r="A168" t="str">
        <f>"600200"</f>
        <v>600200</v>
      </c>
      <c r="B168" t="s">
        <v>294</v>
      </c>
      <c r="C168">
        <v>1.51</v>
      </c>
      <c r="D168">
        <v>12.13</v>
      </c>
      <c r="E168">
        <v>0.18</v>
      </c>
      <c r="F168">
        <v>12.13</v>
      </c>
      <c r="G168">
        <v>12.14</v>
      </c>
      <c r="H168">
        <v>151910</v>
      </c>
      <c r="I168">
        <v>221</v>
      </c>
      <c r="J168">
        <v>0.16</v>
      </c>
      <c r="K168">
        <v>2.91</v>
      </c>
      <c r="L168">
        <v>12</v>
      </c>
      <c r="M168">
        <v>12.14</v>
      </c>
      <c r="N168">
        <v>11.7</v>
      </c>
      <c r="O168">
        <v>11.95</v>
      </c>
      <c r="P168">
        <v>199.08</v>
      </c>
      <c r="Q168">
        <v>181797952</v>
      </c>
      <c r="R168">
        <v>0.65</v>
      </c>
      <c r="S168" t="s">
        <v>145</v>
      </c>
      <c r="T168" t="s">
        <v>120</v>
      </c>
      <c r="U168">
        <v>3.68</v>
      </c>
      <c r="V168">
        <v>11.97</v>
      </c>
      <c r="W168">
        <v>72937</v>
      </c>
      <c r="X168">
        <v>78973</v>
      </c>
      <c r="Y168">
        <v>0.92</v>
      </c>
      <c r="Z168">
        <v>34</v>
      </c>
      <c r="AA168">
        <v>3</v>
      </c>
      <c r="AB168" t="s">
        <v>31</v>
      </c>
    </row>
    <row r="169" spans="1:28">
      <c r="A169" t="str">
        <f>"600201"</f>
        <v>600201</v>
      </c>
      <c r="B169" t="s">
        <v>295</v>
      </c>
      <c r="C169">
        <v>0.69</v>
      </c>
      <c r="D169">
        <v>23.41</v>
      </c>
      <c r="E169">
        <v>0.16</v>
      </c>
      <c r="F169">
        <v>23.43</v>
      </c>
      <c r="G169">
        <v>23.48</v>
      </c>
      <c r="H169">
        <v>16192</v>
      </c>
      <c r="I169">
        <v>5</v>
      </c>
      <c r="J169">
        <v>-0.17</v>
      </c>
      <c r="K169">
        <v>0.57999999999999996</v>
      </c>
      <c r="L169">
        <v>23.26</v>
      </c>
      <c r="M169">
        <v>23.68</v>
      </c>
      <c r="N169">
        <v>23.18</v>
      </c>
      <c r="O169">
        <v>23.25</v>
      </c>
      <c r="P169">
        <v>23.01</v>
      </c>
      <c r="Q169">
        <v>37819976</v>
      </c>
      <c r="R169">
        <v>0.61</v>
      </c>
      <c r="S169" t="s">
        <v>145</v>
      </c>
      <c r="T169" t="s">
        <v>47</v>
      </c>
      <c r="U169">
        <v>2.15</v>
      </c>
      <c r="V169">
        <v>23.36</v>
      </c>
      <c r="W169">
        <v>9607</v>
      </c>
      <c r="X169">
        <v>6585</v>
      </c>
      <c r="Y169">
        <v>1.46</v>
      </c>
      <c r="Z169">
        <v>18</v>
      </c>
      <c r="AA169">
        <v>77</v>
      </c>
      <c r="AB169" t="s">
        <v>31</v>
      </c>
    </row>
    <row r="170" spans="1:28">
      <c r="A170" t="str">
        <f>"600202"</f>
        <v>600202</v>
      </c>
      <c r="B170" t="s">
        <v>296</v>
      </c>
      <c r="C170">
        <v>-0.2</v>
      </c>
      <c r="D170">
        <v>5.07</v>
      </c>
      <c r="E170">
        <v>-0.01</v>
      </c>
      <c r="F170">
        <v>5.0599999999999996</v>
      </c>
      <c r="G170">
        <v>5.07</v>
      </c>
      <c r="H170">
        <v>28988</v>
      </c>
      <c r="I170">
        <v>114</v>
      </c>
      <c r="J170">
        <v>0.19</v>
      </c>
      <c r="K170">
        <v>0.76</v>
      </c>
      <c r="L170">
        <v>5.05</v>
      </c>
      <c r="M170">
        <v>5.09</v>
      </c>
      <c r="N170">
        <v>4.96</v>
      </c>
      <c r="O170">
        <v>5.08</v>
      </c>
      <c r="P170" t="s">
        <v>31</v>
      </c>
      <c r="Q170">
        <v>14642067</v>
      </c>
      <c r="R170">
        <v>0.84</v>
      </c>
      <c r="S170" t="s">
        <v>161</v>
      </c>
      <c r="T170" t="s">
        <v>85</v>
      </c>
      <c r="U170">
        <v>2.56</v>
      </c>
      <c r="V170">
        <v>5.05</v>
      </c>
      <c r="W170">
        <v>19136</v>
      </c>
      <c r="X170">
        <v>9852</v>
      </c>
      <c r="Y170">
        <v>1.94</v>
      </c>
      <c r="Z170">
        <v>292</v>
      </c>
      <c r="AA170">
        <v>36</v>
      </c>
      <c r="AB170" t="s">
        <v>31</v>
      </c>
    </row>
    <row r="171" spans="1:28">
      <c r="A171" t="str">
        <f>"600203"</f>
        <v>600203</v>
      </c>
      <c r="B171" t="s">
        <v>297</v>
      </c>
      <c r="C171">
        <v>0.78</v>
      </c>
      <c r="D171">
        <v>6.43</v>
      </c>
      <c r="E171">
        <v>0.05</v>
      </c>
      <c r="F171">
        <v>6.4</v>
      </c>
      <c r="G171">
        <v>6.41</v>
      </c>
      <c r="H171">
        <v>21979</v>
      </c>
      <c r="I171">
        <v>367</v>
      </c>
      <c r="J171">
        <v>0.31</v>
      </c>
      <c r="K171">
        <v>0.91</v>
      </c>
      <c r="L171">
        <v>6.39</v>
      </c>
      <c r="M171">
        <v>6.45</v>
      </c>
      <c r="N171">
        <v>6.28</v>
      </c>
      <c r="O171">
        <v>6.38</v>
      </c>
      <c r="P171">
        <v>11.13</v>
      </c>
      <c r="Q171">
        <v>14052131</v>
      </c>
      <c r="R171">
        <v>0.73</v>
      </c>
      <c r="S171" t="s">
        <v>153</v>
      </c>
      <c r="T171" t="s">
        <v>78</v>
      </c>
      <c r="U171">
        <v>2.66</v>
      </c>
      <c r="V171">
        <v>6.39</v>
      </c>
      <c r="W171">
        <v>12243</v>
      </c>
      <c r="X171">
        <v>9736</v>
      </c>
      <c r="Y171">
        <v>1.26</v>
      </c>
      <c r="Z171">
        <v>308</v>
      </c>
      <c r="AA171">
        <v>133</v>
      </c>
      <c r="AB171" t="s">
        <v>31</v>
      </c>
    </row>
    <row r="172" spans="1:28">
      <c r="A172" t="str">
        <f>"600206"</f>
        <v>600206</v>
      </c>
      <c r="B172" t="s">
        <v>298</v>
      </c>
      <c r="C172">
        <v>1.22</v>
      </c>
      <c r="D172">
        <v>15.74</v>
      </c>
      <c r="E172">
        <v>0.19</v>
      </c>
      <c r="F172">
        <v>15.74</v>
      </c>
      <c r="G172">
        <v>15.77</v>
      </c>
      <c r="H172">
        <v>10124</v>
      </c>
      <c r="I172">
        <v>4</v>
      </c>
      <c r="J172">
        <v>0.25</v>
      </c>
      <c r="K172">
        <v>0.47</v>
      </c>
      <c r="L172">
        <v>15.58</v>
      </c>
      <c r="M172">
        <v>15.8</v>
      </c>
      <c r="N172">
        <v>15.36</v>
      </c>
      <c r="O172">
        <v>15.55</v>
      </c>
      <c r="P172">
        <v>921.48</v>
      </c>
      <c r="Q172">
        <v>15890096</v>
      </c>
      <c r="R172">
        <v>0.33</v>
      </c>
      <c r="S172" t="s">
        <v>241</v>
      </c>
      <c r="T172" t="s">
        <v>42</v>
      </c>
      <c r="U172">
        <v>2.83</v>
      </c>
      <c r="V172">
        <v>15.69</v>
      </c>
      <c r="W172">
        <v>4031</v>
      </c>
      <c r="X172">
        <v>6093</v>
      </c>
      <c r="Y172">
        <v>0.66</v>
      </c>
      <c r="Z172">
        <v>1</v>
      </c>
      <c r="AA172">
        <v>50</v>
      </c>
      <c r="AB172" t="s">
        <v>31</v>
      </c>
    </row>
    <row r="173" spans="1:28">
      <c r="A173" t="str">
        <f>"600207"</f>
        <v>600207</v>
      </c>
      <c r="B173" t="s">
        <v>299</v>
      </c>
      <c r="C173">
        <v>0.19</v>
      </c>
      <c r="D173">
        <v>5.2</v>
      </c>
      <c r="E173">
        <v>0.01</v>
      </c>
      <c r="F173">
        <v>5.19</v>
      </c>
      <c r="G173">
        <v>5.2</v>
      </c>
      <c r="H173">
        <v>94423</v>
      </c>
      <c r="I173">
        <v>65</v>
      </c>
      <c r="J173">
        <v>0.19</v>
      </c>
      <c r="K173">
        <v>2.15</v>
      </c>
      <c r="L173">
        <v>5.2</v>
      </c>
      <c r="M173">
        <v>5.24</v>
      </c>
      <c r="N173">
        <v>5.04</v>
      </c>
      <c r="O173">
        <v>5.19</v>
      </c>
      <c r="P173" t="s">
        <v>31</v>
      </c>
      <c r="Q173">
        <v>48682160</v>
      </c>
      <c r="R173">
        <v>2.38</v>
      </c>
      <c r="S173" t="s">
        <v>153</v>
      </c>
      <c r="T173" t="s">
        <v>61</v>
      </c>
      <c r="U173">
        <v>3.85</v>
      </c>
      <c r="V173">
        <v>5.16</v>
      </c>
      <c r="W173">
        <v>35775</v>
      </c>
      <c r="X173">
        <v>58648</v>
      </c>
      <c r="Y173">
        <v>0.61</v>
      </c>
      <c r="Z173">
        <v>323</v>
      </c>
      <c r="AA173">
        <v>971</v>
      </c>
      <c r="AB173" t="s">
        <v>31</v>
      </c>
    </row>
    <row r="174" spans="1:28">
      <c r="A174" t="str">
        <f>"600208"</f>
        <v>600208</v>
      </c>
      <c r="B174" t="s">
        <v>300</v>
      </c>
      <c r="C174">
        <v>0.93</v>
      </c>
      <c r="D174">
        <v>3.27</v>
      </c>
      <c r="E174">
        <v>0.03</v>
      </c>
      <c r="F174">
        <v>3.27</v>
      </c>
      <c r="G174">
        <v>3.28</v>
      </c>
      <c r="H174">
        <v>96310</v>
      </c>
      <c r="I174">
        <v>1</v>
      </c>
      <c r="J174">
        <v>0</v>
      </c>
      <c r="K174">
        <v>0.15</v>
      </c>
      <c r="L174">
        <v>3.21</v>
      </c>
      <c r="M174">
        <v>3.29</v>
      </c>
      <c r="N174">
        <v>3.21</v>
      </c>
      <c r="O174">
        <v>3.24</v>
      </c>
      <c r="P174">
        <v>45.05</v>
      </c>
      <c r="Q174">
        <v>31281674</v>
      </c>
      <c r="R174">
        <v>0.42</v>
      </c>
      <c r="S174" t="s">
        <v>90</v>
      </c>
      <c r="T174" t="s">
        <v>95</v>
      </c>
      <c r="U174">
        <v>2.4700000000000002</v>
      </c>
      <c r="V174">
        <v>3.25</v>
      </c>
      <c r="W174">
        <v>53510</v>
      </c>
      <c r="X174">
        <v>42800</v>
      </c>
      <c r="Y174">
        <v>1.25</v>
      </c>
      <c r="Z174">
        <v>354</v>
      </c>
      <c r="AA174">
        <v>6194</v>
      </c>
      <c r="AB174" t="s">
        <v>31</v>
      </c>
    </row>
    <row r="175" spans="1:28">
      <c r="A175" t="str">
        <f>"600209"</f>
        <v>600209</v>
      </c>
      <c r="B175" t="s">
        <v>301</v>
      </c>
      <c r="C175">
        <v>3.67</v>
      </c>
      <c r="D175">
        <v>11.59</v>
      </c>
      <c r="E175">
        <v>0.41</v>
      </c>
      <c r="F175">
        <v>11.58</v>
      </c>
      <c r="G175">
        <v>11.59</v>
      </c>
      <c r="H175">
        <v>291401</v>
      </c>
      <c r="I175">
        <v>17</v>
      </c>
      <c r="J175">
        <v>0</v>
      </c>
      <c r="K175">
        <v>7.76</v>
      </c>
      <c r="L175">
        <v>11.01</v>
      </c>
      <c r="M175">
        <v>11.67</v>
      </c>
      <c r="N175">
        <v>10.9</v>
      </c>
      <c r="O175">
        <v>11.18</v>
      </c>
      <c r="P175" t="s">
        <v>31</v>
      </c>
      <c r="Q175">
        <v>330205792</v>
      </c>
      <c r="R175">
        <v>0.79</v>
      </c>
      <c r="S175" t="s">
        <v>94</v>
      </c>
      <c r="T175" t="s">
        <v>302</v>
      </c>
      <c r="U175">
        <v>6.89</v>
      </c>
      <c r="V175">
        <v>11.33</v>
      </c>
      <c r="W175">
        <v>138577</v>
      </c>
      <c r="X175">
        <v>152824</v>
      </c>
      <c r="Y175">
        <v>0.91</v>
      </c>
      <c r="Z175">
        <v>2747</v>
      </c>
      <c r="AA175">
        <v>152</v>
      </c>
      <c r="AB175" t="s">
        <v>31</v>
      </c>
    </row>
    <row r="176" spans="1:28">
      <c r="A176" t="str">
        <f>"600210"</f>
        <v>600210</v>
      </c>
      <c r="B176" t="s">
        <v>303</v>
      </c>
      <c r="C176">
        <v>1.31</v>
      </c>
      <c r="D176">
        <v>3.09</v>
      </c>
      <c r="E176">
        <v>0.04</v>
      </c>
      <c r="F176">
        <v>3.08</v>
      </c>
      <c r="G176">
        <v>3.09</v>
      </c>
      <c r="H176">
        <v>46064</v>
      </c>
      <c r="I176">
        <v>25</v>
      </c>
      <c r="J176">
        <v>0</v>
      </c>
      <c r="K176">
        <v>0.32</v>
      </c>
      <c r="L176">
        <v>3.07</v>
      </c>
      <c r="M176">
        <v>3.09</v>
      </c>
      <c r="N176">
        <v>3.05</v>
      </c>
      <c r="O176">
        <v>3.05</v>
      </c>
      <c r="P176">
        <v>13.65</v>
      </c>
      <c r="Q176">
        <v>14129253</v>
      </c>
      <c r="R176">
        <v>0.72</v>
      </c>
      <c r="S176" t="s">
        <v>304</v>
      </c>
      <c r="T176" t="s">
        <v>30</v>
      </c>
      <c r="U176">
        <v>1.31</v>
      </c>
      <c r="V176">
        <v>3.07</v>
      </c>
      <c r="W176">
        <v>21442</v>
      </c>
      <c r="X176">
        <v>24622</v>
      </c>
      <c r="Y176">
        <v>0.87</v>
      </c>
      <c r="Z176">
        <v>1445</v>
      </c>
      <c r="AA176">
        <v>625</v>
      </c>
      <c r="AB176" t="s">
        <v>31</v>
      </c>
    </row>
    <row r="177" spans="1:28">
      <c r="A177" t="str">
        <f>"600211"</f>
        <v>600211</v>
      </c>
      <c r="B177" t="s">
        <v>305</v>
      </c>
      <c r="C177">
        <v>0.56000000000000005</v>
      </c>
      <c r="D177">
        <v>17.850000000000001</v>
      </c>
      <c r="E177">
        <v>0.1</v>
      </c>
      <c r="F177">
        <v>17.899999999999999</v>
      </c>
      <c r="G177">
        <v>17.91</v>
      </c>
      <c r="H177">
        <v>4340</v>
      </c>
      <c r="I177">
        <v>15</v>
      </c>
      <c r="J177">
        <v>-0.16</v>
      </c>
      <c r="K177">
        <v>0.38</v>
      </c>
      <c r="L177">
        <v>17.78</v>
      </c>
      <c r="M177">
        <v>17.95</v>
      </c>
      <c r="N177">
        <v>17.45</v>
      </c>
      <c r="O177">
        <v>17.75</v>
      </c>
      <c r="P177">
        <v>143.16999999999999</v>
      </c>
      <c r="Q177">
        <v>7736635</v>
      </c>
      <c r="R177">
        <v>0.4</v>
      </c>
      <c r="S177" t="s">
        <v>156</v>
      </c>
      <c r="T177" t="s">
        <v>306</v>
      </c>
      <c r="U177">
        <v>2.82</v>
      </c>
      <c r="V177">
        <v>17.82</v>
      </c>
      <c r="W177">
        <v>1930</v>
      </c>
      <c r="X177">
        <v>2410</v>
      </c>
      <c r="Y177">
        <v>0.8</v>
      </c>
      <c r="Z177">
        <v>4</v>
      </c>
      <c r="AA177">
        <v>234</v>
      </c>
      <c r="AB177" t="s">
        <v>31</v>
      </c>
    </row>
    <row r="178" spans="1:28">
      <c r="A178" t="str">
        <f>"600212"</f>
        <v>600212</v>
      </c>
      <c r="B178" t="s">
        <v>307</v>
      </c>
      <c r="C178">
        <v>2.7</v>
      </c>
      <c r="D178">
        <v>3.04</v>
      </c>
      <c r="E178">
        <v>0.08</v>
      </c>
      <c r="F178">
        <v>3.03</v>
      </c>
      <c r="G178">
        <v>3.04</v>
      </c>
      <c r="H178">
        <v>47056</v>
      </c>
      <c r="I178">
        <v>50</v>
      </c>
      <c r="J178">
        <v>0</v>
      </c>
      <c r="K178">
        <v>0.92</v>
      </c>
      <c r="L178">
        <v>2.98</v>
      </c>
      <c r="M178">
        <v>3.05</v>
      </c>
      <c r="N178">
        <v>2.95</v>
      </c>
      <c r="O178">
        <v>2.96</v>
      </c>
      <c r="P178">
        <v>439.71</v>
      </c>
      <c r="Q178">
        <v>14173781</v>
      </c>
      <c r="R178">
        <v>0.83</v>
      </c>
      <c r="S178" t="s">
        <v>94</v>
      </c>
      <c r="T178" t="s">
        <v>57</v>
      </c>
      <c r="U178">
        <v>3.38</v>
      </c>
      <c r="V178">
        <v>3.01</v>
      </c>
      <c r="W178">
        <v>18688</v>
      </c>
      <c r="X178">
        <v>28368</v>
      </c>
      <c r="Y178">
        <v>0.66</v>
      </c>
      <c r="Z178">
        <v>622</v>
      </c>
      <c r="AA178">
        <v>616</v>
      </c>
      <c r="AB178" t="s">
        <v>31</v>
      </c>
    </row>
    <row r="179" spans="1:28">
      <c r="A179" t="str">
        <f>"600213"</f>
        <v>600213</v>
      </c>
      <c r="B179" t="s">
        <v>308</v>
      </c>
      <c r="C179">
        <v>0.68</v>
      </c>
      <c r="D179">
        <v>5.96</v>
      </c>
      <c r="E179">
        <v>0.04</v>
      </c>
      <c r="F179">
        <v>5.96</v>
      </c>
      <c r="G179">
        <v>5.97</v>
      </c>
      <c r="H179">
        <v>12305</v>
      </c>
      <c r="I179">
        <v>2</v>
      </c>
      <c r="J179">
        <v>-0.33</v>
      </c>
      <c r="K179">
        <v>0.56000000000000005</v>
      </c>
      <c r="L179">
        <v>5.92</v>
      </c>
      <c r="M179">
        <v>6</v>
      </c>
      <c r="N179">
        <v>5.73</v>
      </c>
      <c r="O179">
        <v>5.92</v>
      </c>
      <c r="P179" t="s">
        <v>31</v>
      </c>
      <c r="Q179">
        <v>7276329</v>
      </c>
      <c r="R179">
        <v>0.28000000000000003</v>
      </c>
      <c r="S179" t="s">
        <v>39</v>
      </c>
      <c r="T179" t="s">
        <v>120</v>
      </c>
      <c r="U179">
        <v>4.5599999999999996</v>
      </c>
      <c r="V179">
        <v>5.91</v>
      </c>
      <c r="W179">
        <v>6102</v>
      </c>
      <c r="X179">
        <v>6203</v>
      </c>
      <c r="Y179">
        <v>0.98</v>
      </c>
      <c r="Z179">
        <v>5</v>
      </c>
      <c r="AA179">
        <v>66</v>
      </c>
      <c r="AB179" t="s">
        <v>31</v>
      </c>
    </row>
    <row r="180" spans="1:28">
      <c r="A180" t="str">
        <f>"600215"</f>
        <v>600215</v>
      </c>
      <c r="B180" t="s">
        <v>309</v>
      </c>
      <c r="C180">
        <v>1.47</v>
      </c>
      <c r="D180">
        <v>4.13</v>
      </c>
      <c r="E180">
        <v>0.06</v>
      </c>
      <c r="F180">
        <v>4.13</v>
      </c>
      <c r="G180">
        <v>4.1399999999999997</v>
      </c>
      <c r="H180">
        <v>16410</v>
      </c>
      <c r="I180">
        <v>27</v>
      </c>
      <c r="J180">
        <v>-0.24</v>
      </c>
      <c r="K180">
        <v>0.35</v>
      </c>
      <c r="L180">
        <v>4.05</v>
      </c>
      <c r="M180">
        <v>4.1399999999999997</v>
      </c>
      <c r="N180">
        <v>4.04</v>
      </c>
      <c r="O180">
        <v>4.07</v>
      </c>
      <c r="P180" t="s">
        <v>31</v>
      </c>
      <c r="Q180">
        <v>6720627</v>
      </c>
      <c r="R180">
        <v>0.61</v>
      </c>
      <c r="S180" t="s">
        <v>41</v>
      </c>
      <c r="T180" t="s">
        <v>191</v>
      </c>
      <c r="U180">
        <v>2.46</v>
      </c>
      <c r="V180">
        <v>4.0999999999999996</v>
      </c>
      <c r="W180">
        <v>5878</v>
      </c>
      <c r="X180">
        <v>10532</v>
      </c>
      <c r="Y180">
        <v>0.56000000000000005</v>
      </c>
      <c r="Z180">
        <v>304</v>
      </c>
      <c r="AA180">
        <v>73</v>
      </c>
      <c r="AB180" t="s">
        <v>31</v>
      </c>
    </row>
    <row r="181" spans="1:28">
      <c r="A181" t="str">
        <f>"600216"</f>
        <v>600216</v>
      </c>
      <c r="B181" t="s">
        <v>310</v>
      </c>
      <c r="C181">
        <v>-4.13</v>
      </c>
      <c r="D181">
        <v>10.69</v>
      </c>
      <c r="E181">
        <v>-0.46</v>
      </c>
      <c r="F181">
        <v>10.67</v>
      </c>
      <c r="G181">
        <v>10.68</v>
      </c>
      <c r="H181">
        <v>289075</v>
      </c>
      <c r="I181">
        <v>57</v>
      </c>
      <c r="J181">
        <v>-0.09</v>
      </c>
      <c r="K181">
        <v>3.09</v>
      </c>
      <c r="L181">
        <v>10.78</v>
      </c>
      <c r="M181">
        <v>10.87</v>
      </c>
      <c r="N181">
        <v>10.35</v>
      </c>
      <c r="O181">
        <v>11.15</v>
      </c>
      <c r="P181">
        <v>14</v>
      </c>
      <c r="Q181">
        <v>305991424</v>
      </c>
      <c r="R181">
        <v>2.83</v>
      </c>
      <c r="S181" t="s">
        <v>117</v>
      </c>
      <c r="T181" t="s">
        <v>95</v>
      </c>
      <c r="U181">
        <v>4.66</v>
      </c>
      <c r="V181">
        <v>10.59</v>
      </c>
      <c r="W181">
        <v>162423</v>
      </c>
      <c r="X181">
        <v>126652</v>
      </c>
      <c r="Y181">
        <v>1.28</v>
      </c>
      <c r="Z181">
        <v>253</v>
      </c>
      <c r="AA181">
        <v>34</v>
      </c>
      <c r="AB181" t="s">
        <v>31</v>
      </c>
    </row>
    <row r="182" spans="1:28">
      <c r="A182" t="str">
        <f>"600217"</f>
        <v>600217</v>
      </c>
      <c r="B182" t="s">
        <v>311</v>
      </c>
      <c r="C182">
        <v>2.4</v>
      </c>
      <c r="D182">
        <v>4.26</v>
      </c>
      <c r="E182">
        <v>0.1</v>
      </c>
      <c r="F182">
        <v>4.25</v>
      </c>
      <c r="G182">
        <v>4.26</v>
      </c>
      <c r="H182">
        <v>53581</v>
      </c>
      <c r="I182">
        <v>47</v>
      </c>
      <c r="J182">
        <v>0</v>
      </c>
      <c r="K182">
        <v>0.81</v>
      </c>
      <c r="L182">
        <v>4.16</v>
      </c>
      <c r="M182">
        <v>4.2699999999999996</v>
      </c>
      <c r="N182">
        <v>4.1500000000000004</v>
      </c>
      <c r="O182">
        <v>4.16</v>
      </c>
      <c r="P182" t="s">
        <v>31</v>
      </c>
      <c r="Q182">
        <v>22548104</v>
      </c>
      <c r="R182">
        <v>0.59</v>
      </c>
      <c r="S182" t="s">
        <v>312</v>
      </c>
      <c r="T182" t="s">
        <v>147</v>
      </c>
      <c r="U182">
        <v>2.88</v>
      </c>
      <c r="V182">
        <v>4.21</v>
      </c>
      <c r="W182">
        <v>23585</v>
      </c>
      <c r="X182">
        <v>29996</v>
      </c>
      <c r="Y182">
        <v>0.79</v>
      </c>
      <c r="Z182">
        <v>206</v>
      </c>
      <c r="AA182">
        <v>57</v>
      </c>
      <c r="AB182" t="s">
        <v>31</v>
      </c>
    </row>
    <row r="183" spans="1:28">
      <c r="A183" t="str">
        <f>"600218"</f>
        <v>600218</v>
      </c>
      <c r="B183" t="s">
        <v>313</v>
      </c>
      <c r="C183">
        <v>-2.46</v>
      </c>
      <c r="D183">
        <v>8.34</v>
      </c>
      <c r="E183">
        <v>-0.21</v>
      </c>
      <c r="F183">
        <v>8.33</v>
      </c>
      <c r="G183">
        <v>8.34</v>
      </c>
      <c r="H183">
        <v>83499</v>
      </c>
      <c r="I183">
        <v>16</v>
      </c>
      <c r="J183">
        <v>-0.47</v>
      </c>
      <c r="K183">
        <v>2.95</v>
      </c>
      <c r="L183">
        <v>8.48</v>
      </c>
      <c r="M183">
        <v>8.56</v>
      </c>
      <c r="N183">
        <v>8.2899999999999991</v>
      </c>
      <c r="O183">
        <v>8.5500000000000007</v>
      </c>
      <c r="P183">
        <v>53.18</v>
      </c>
      <c r="Q183">
        <v>70376736</v>
      </c>
      <c r="R183">
        <v>0.65</v>
      </c>
      <c r="S183" t="s">
        <v>314</v>
      </c>
      <c r="T183" t="s">
        <v>52</v>
      </c>
      <c r="U183">
        <v>3.16</v>
      </c>
      <c r="V183">
        <v>8.43</v>
      </c>
      <c r="W183">
        <v>37567</v>
      </c>
      <c r="X183">
        <v>45932</v>
      </c>
      <c r="Y183">
        <v>0.82</v>
      </c>
      <c r="Z183">
        <v>166</v>
      </c>
      <c r="AA183">
        <v>260</v>
      </c>
      <c r="AB183" t="s">
        <v>31</v>
      </c>
    </row>
    <row r="184" spans="1:28">
      <c r="A184" t="str">
        <f>"600219"</f>
        <v>600219</v>
      </c>
      <c r="B184" t="s">
        <v>315</v>
      </c>
      <c r="C184">
        <v>1.96</v>
      </c>
      <c r="D184">
        <v>5.21</v>
      </c>
      <c r="E184">
        <v>0.1</v>
      </c>
      <c r="F184">
        <v>5.2</v>
      </c>
      <c r="G184">
        <v>5.21</v>
      </c>
      <c r="H184">
        <v>105411</v>
      </c>
      <c r="I184">
        <v>23</v>
      </c>
      <c r="J184">
        <v>0.38</v>
      </c>
      <c r="K184">
        <v>0.54</v>
      </c>
      <c r="L184">
        <v>5.15</v>
      </c>
      <c r="M184">
        <v>5.27</v>
      </c>
      <c r="N184">
        <v>5.14</v>
      </c>
      <c r="O184">
        <v>5.1100000000000003</v>
      </c>
      <c r="P184">
        <v>15.25</v>
      </c>
      <c r="Q184">
        <v>54855968</v>
      </c>
      <c r="R184">
        <v>1.01</v>
      </c>
      <c r="S184" t="s">
        <v>316</v>
      </c>
      <c r="T184" t="s">
        <v>57</v>
      </c>
      <c r="U184">
        <v>2.54</v>
      </c>
      <c r="V184">
        <v>5.2</v>
      </c>
      <c r="W184">
        <v>56944</v>
      </c>
      <c r="X184">
        <v>48467</v>
      </c>
      <c r="Y184">
        <v>1.17</v>
      </c>
      <c r="Z184">
        <v>111</v>
      </c>
      <c r="AA184">
        <v>763</v>
      </c>
      <c r="AB184" t="s">
        <v>31</v>
      </c>
    </row>
    <row r="185" spans="1:28">
      <c r="A185" t="str">
        <f>"600220"</f>
        <v>600220</v>
      </c>
      <c r="B185" t="s">
        <v>317</v>
      </c>
      <c r="C185">
        <v>0.81</v>
      </c>
      <c r="D185">
        <v>2.4900000000000002</v>
      </c>
      <c r="E185">
        <v>0.02</v>
      </c>
      <c r="F185">
        <v>2.4900000000000002</v>
      </c>
      <c r="G185">
        <v>2.5</v>
      </c>
      <c r="H185">
        <v>65415</v>
      </c>
      <c r="I185">
        <v>45</v>
      </c>
      <c r="J185">
        <v>0.4</v>
      </c>
      <c r="K185">
        <v>0.37</v>
      </c>
      <c r="L185">
        <v>2.4700000000000002</v>
      </c>
      <c r="M185">
        <v>2.5</v>
      </c>
      <c r="N185">
        <v>2.4500000000000002</v>
      </c>
      <c r="O185">
        <v>2.4700000000000002</v>
      </c>
      <c r="P185">
        <v>61.98</v>
      </c>
      <c r="Q185">
        <v>16199543</v>
      </c>
      <c r="R185">
        <v>0.56999999999999995</v>
      </c>
      <c r="S185" t="s">
        <v>127</v>
      </c>
      <c r="T185" t="s">
        <v>120</v>
      </c>
      <c r="U185">
        <v>2.02</v>
      </c>
      <c r="V185">
        <v>2.48</v>
      </c>
      <c r="W185">
        <v>32935</v>
      </c>
      <c r="X185">
        <v>32480</v>
      </c>
      <c r="Y185">
        <v>1.01</v>
      </c>
      <c r="Z185">
        <v>233</v>
      </c>
      <c r="AA185">
        <v>3160</v>
      </c>
      <c r="AB185" t="s">
        <v>31</v>
      </c>
    </row>
    <row r="186" spans="1:28">
      <c r="A186" t="str">
        <f>"600221"</f>
        <v>600221</v>
      </c>
      <c r="B186" t="s">
        <v>318</v>
      </c>
      <c r="C186">
        <v>2.5</v>
      </c>
      <c r="D186">
        <v>2.0499999999999998</v>
      </c>
      <c r="E186">
        <v>0.05</v>
      </c>
      <c r="F186">
        <v>2.04</v>
      </c>
      <c r="G186">
        <v>2.0499999999999998</v>
      </c>
      <c r="H186">
        <v>484410</v>
      </c>
      <c r="I186">
        <v>343</v>
      </c>
      <c r="J186">
        <v>0</v>
      </c>
      <c r="K186">
        <v>0.41</v>
      </c>
      <c r="L186">
        <v>2</v>
      </c>
      <c r="M186">
        <v>2.0499999999999998</v>
      </c>
      <c r="N186">
        <v>2</v>
      </c>
      <c r="O186">
        <v>2</v>
      </c>
      <c r="P186">
        <v>19.350000000000001</v>
      </c>
      <c r="Q186">
        <v>98575696</v>
      </c>
      <c r="R186">
        <v>0.74</v>
      </c>
      <c r="S186" t="s">
        <v>70</v>
      </c>
      <c r="T186" t="s">
        <v>302</v>
      </c>
      <c r="U186">
        <v>2.5</v>
      </c>
      <c r="V186">
        <v>2.0299999999999998</v>
      </c>
      <c r="W186">
        <v>215809</v>
      </c>
      <c r="X186">
        <v>268601</v>
      </c>
      <c r="Y186">
        <v>0.8</v>
      </c>
      <c r="Z186">
        <v>8778</v>
      </c>
      <c r="AA186">
        <v>32769</v>
      </c>
      <c r="AB186" t="s">
        <v>31</v>
      </c>
    </row>
    <row r="187" spans="1:28">
      <c r="A187" t="str">
        <f>"600222"</f>
        <v>600222</v>
      </c>
      <c r="B187" t="s">
        <v>319</v>
      </c>
      <c r="C187">
        <v>2.72</v>
      </c>
      <c r="D187">
        <v>6.43</v>
      </c>
      <c r="E187">
        <v>0.17</v>
      </c>
      <c r="F187">
        <v>6.42</v>
      </c>
      <c r="G187">
        <v>6.43</v>
      </c>
      <c r="H187">
        <v>47345</v>
      </c>
      <c r="I187">
        <v>73</v>
      </c>
      <c r="J187">
        <v>0</v>
      </c>
      <c r="K187">
        <v>1.1499999999999999</v>
      </c>
      <c r="L187">
        <v>6.25</v>
      </c>
      <c r="M187">
        <v>6.45</v>
      </c>
      <c r="N187">
        <v>6.24</v>
      </c>
      <c r="O187">
        <v>6.26</v>
      </c>
      <c r="P187">
        <v>119.22</v>
      </c>
      <c r="Q187">
        <v>30194988</v>
      </c>
      <c r="R187">
        <v>0.5</v>
      </c>
      <c r="S187" t="s">
        <v>156</v>
      </c>
      <c r="T187" t="s">
        <v>61</v>
      </c>
      <c r="U187">
        <v>3.35</v>
      </c>
      <c r="V187">
        <v>6.38</v>
      </c>
      <c r="W187">
        <v>22554</v>
      </c>
      <c r="X187">
        <v>24791</v>
      </c>
      <c r="Y187">
        <v>0.91</v>
      </c>
      <c r="Z187">
        <v>91</v>
      </c>
      <c r="AA187">
        <v>36</v>
      </c>
      <c r="AB187" t="s">
        <v>31</v>
      </c>
    </row>
    <row r="188" spans="1:28">
      <c r="A188" t="str">
        <f>"600223"</f>
        <v>600223</v>
      </c>
      <c r="B188" t="s">
        <v>320</v>
      </c>
      <c r="C188">
        <v>2.2200000000000002</v>
      </c>
      <c r="D188">
        <v>4.1500000000000004</v>
      </c>
      <c r="E188">
        <v>0.09</v>
      </c>
      <c r="F188">
        <v>4.1500000000000004</v>
      </c>
      <c r="G188">
        <v>4.16</v>
      </c>
      <c r="H188">
        <v>25074</v>
      </c>
      <c r="I188">
        <v>158</v>
      </c>
      <c r="J188">
        <v>0</v>
      </c>
      <c r="K188">
        <v>0.25</v>
      </c>
      <c r="L188">
        <v>4.0999999999999996</v>
      </c>
      <c r="M188">
        <v>4.18</v>
      </c>
      <c r="N188">
        <v>4.0199999999999996</v>
      </c>
      <c r="O188">
        <v>4.0599999999999996</v>
      </c>
      <c r="P188">
        <v>31.05</v>
      </c>
      <c r="Q188">
        <v>10257166</v>
      </c>
      <c r="R188">
        <v>0.74</v>
      </c>
      <c r="S188" t="s">
        <v>97</v>
      </c>
      <c r="T188" t="s">
        <v>57</v>
      </c>
      <c r="U188">
        <v>3.94</v>
      </c>
      <c r="V188">
        <v>4.09</v>
      </c>
      <c r="W188">
        <v>13039</v>
      </c>
      <c r="X188">
        <v>12035</v>
      </c>
      <c r="Y188">
        <v>1.08</v>
      </c>
      <c r="Z188">
        <v>208</v>
      </c>
      <c r="AA188">
        <v>494</v>
      </c>
      <c r="AB188" t="s">
        <v>31</v>
      </c>
    </row>
    <row r="189" spans="1:28">
      <c r="A189" t="str">
        <f>"600225"</f>
        <v>600225</v>
      </c>
      <c r="B189" t="s">
        <v>321</v>
      </c>
      <c r="C189">
        <v>9.9600000000000009</v>
      </c>
      <c r="D189">
        <v>5.08</v>
      </c>
      <c r="E189">
        <v>0.46</v>
      </c>
      <c r="F189">
        <v>5.08</v>
      </c>
      <c r="G189" t="s">
        <v>31</v>
      </c>
      <c r="H189">
        <v>110109</v>
      </c>
      <c r="I189">
        <v>260</v>
      </c>
      <c r="J189">
        <v>0</v>
      </c>
      <c r="K189">
        <v>1.94</v>
      </c>
      <c r="L189">
        <v>4.59</v>
      </c>
      <c r="M189">
        <v>5.08</v>
      </c>
      <c r="N189">
        <v>4.51</v>
      </c>
      <c r="O189">
        <v>4.62</v>
      </c>
      <c r="P189" t="s">
        <v>31</v>
      </c>
      <c r="Q189">
        <v>53715816</v>
      </c>
      <c r="R189">
        <v>0.79</v>
      </c>
      <c r="S189" t="s">
        <v>97</v>
      </c>
      <c r="T189" t="s">
        <v>151</v>
      </c>
      <c r="U189">
        <v>12.34</v>
      </c>
      <c r="V189">
        <v>4.88</v>
      </c>
      <c r="W189">
        <v>51370</v>
      </c>
      <c r="X189">
        <v>58739</v>
      </c>
      <c r="Y189">
        <v>0.87</v>
      </c>
      <c r="Z189">
        <v>2411</v>
      </c>
      <c r="AA189">
        <v>0</v>
      </c>
      <c r="AB189" t="s">
        <v>31</v>
      </c>
    </row>
    <row r="190" spans="1:28">
      <c r="A190" t="str">
        <f>"600226"</f>
        <v>600226</v>
      </c>
      <c r="B190" t="s">
        <v>322</v>
      </c>
      <c r="C190">
        <v>0.48</v>
      </c>
      <c r="D190">
        <v>6.29</v>
      </c>
      <c r="E190">
        <v>0.03</v>
      </c>
      <c r="F190">
        <v>6.29</v>
      </c>
      <c r="G190">
        <v>6.3</v>
      </c>
      <c r="H190">
        <v>56461</v>
      </c>
      <c r="I190">
        <v>66</v>
      </c>
      <c r="J190">
        <v>0</v>
      </c>
      <c r="K190">
        <v>1.39</v>
      </c>
      <c r="L190">
        <v>6.2</v>
      </c>
      <c r="M190">
        <v>6.31</v>
      </c>
      <c r="N190">
        <v>6.07</v>
      </c>
      <c r="O190">
        <v>6.26</v>
      </c>
      <c r="P190">
        <v>58.39</v>
      </c>
      <c r="Q190">
        <v>35226424</v>
      </c>
      <c r="R190">
        <v>0.7</v>
      </c>
      <c r="S190" t="s">
        <v>169</v>
      </c>
      <c r="T190" t="s">
        <v>95</v>
      </c>
      <c r="U190">
        <v>3.83</v>
      </c>
      <c r="V190">
        <v>6.24</v>
      </c>
      <c r="W190">
        <v>26579</v>
      </c>
      <c r="X190">
        <v>29882</v>
      </c>
      <c r="Y190">
        <v>0.89</v>
      </c>
      <c r="Z190">
        <v>919</v>
      </c>
      <c r="AA190">
        <v>284</v>
      </c>
      <c r="AB190" t="s">
        <v>31</v>
      </c>
    </row>
    <row r="191" spans="1:28">
      <c r="A191" t="str">
        <f>"600227"</f>
        <v>600227</v>
      </c>
      <c r="B191" t="s">
        <v>323</v>
      </c>
      <c r="C191">
        <v>-1.01</v>
      </c>
      <c r="D191">
        <v>2.94</v>
      </c>
      <c r="E191">
        <v>-0.03</v>
      </c>
      <c r="F191">
        <v>2.94</v>
      </c>
      <c r="G191">
        <v>2.95</v>
      </c>
      <c r="H191">
        <v>73367</v>
      </c>
      <c r="I191">
        <v>21</v>
      </c>
      <c r="J191">
        <v>0.34</v>
      </c>
      <c r="K191">
        <v>0.77</v>
      </c>
      <c r="L191">
        <v>2.92</v>
      </c>
      <c r="M191">
        <v>2.96</v>
      </c>
      <c r="N191">
        <v>2.9</v>
      </c>
      <c r="O191">
        <v>2.97</v>
      </c>
      <c r="P191">
        <v>50.08</v>
      </c>
      <c r="Q191">
        <v>21466964</v>
      </c>
      <c r="R191">
        <v>1.44</v>
      </c>
      <c r="S191" t="s">
        <v>169</v>
      </c>
      <c r="T191" t="s">
        <v>195</v>
      </c>
      <c r="U191">
        <v>2.02</v>
      </c>
      <c r="V191">
        <v>2.93</v>
      </c>
      <c r="W191">
        <v>37811</v>
      </c>
      <c r="X191">
        <v>35556</v>
      </c>
      <c r="Y191">
        <v>1.06</v>
      </c>
      <c r="Z191">
        <v>137</v>
      </c>
      <c r="AA191">
        <v>2610</v>
      </c>
      <c r="AB191" t="s">
        <v>31</v>
      </c>
    </row>
    <row r="192" spans="1:28">
      <c r="A192" t="str">
        <f>"600228"</f>
        <v>600228</v>
      </c>
      <c r="B192" t="s">
        <v>324</v>
      </c>
      <c r="C192">
        <v>2.34</v>
      </c>
      <c r="D192">
        <v>27.6</v>
      </c>
      <c r="E192">
        <v>0.63</v>
      </c>
      <c r="F192">
        <v>27.58</v>
      </c>
      <c r="G192">
        <v>27.6</v>
      </c>
      <c r="H192">
        <v>34621</v>
      </c>
      <c r="I192">
        <v>5</v>
      </c>
      <c r="J192">
        <v>-0.32</v>
      </c>
      <c r="K192">
        <v>1.43</v>
      </c>
      <c r="L192">
        <v>27.26</v>
      </c>
      <c r="M192">
        <v>28</v>
      </c>
      <c r="N192">
        <v>27</v>
      </c>
      <c r="O192">
        <v>26.97</v>
      </c>
      <c r="P192" t="s">
        <v>31</v>
      </c>
      <c r="Q192">
        <v>95529608</v>
      </c>
      <c r="R192">
        <v>0.79</v>
      </c>
      <c r="S192" t="s">
        <v>137</v>
      </c>
      <c r="T192" t="s">
        <v>99</v>
      </c>
      <c r="U192">
        <v>3.71</v>
      </c>
      <c r="V192">
        <v>27.59</v>
      </c>
      <c r="W192">
        <v>18689</v>
      </c>
      <c r="X192">
        <v>15932</v>
      </c>
      <c r="Y192">
        <v>1.17</v>
      </c>
      <c r="Z192">
        <v>60</v>
      </c>
      <c r="AA192">
        <v>80</v>
      </c>
      <c r="AB192" t="s">
        <v>31</v>
      </c>
    </row>
    <row r="193" spans="1:28">
      <c r="A193" t="str">
        <f>"600229"</f>
        <v>600229</v>
      </c>
      <c r="B193" t="s">
        <v>325</v>
      </c>
      <c r="C193">
        <v>1.06</v>
      </c>
      <c r="D193">
        <v>5.74</v>
      </c>
      <c r="E193">
        <v>0.06</v>
      </c>
      <c r="F193">
        <v>5.73</v>
      </c>
      <c r="G193">
        <v>5.74</v>
      </c>
      <c r="H193">
        <v>69266</v>
      </c>
      <c r="I193">
        <v>10</v>
      </c>
      <c r="J193">
        <v>0.34</v>
      </c>
      <c r="K193">
        <v>1.75</v>
      </c>
      <c r="L193">
        <v>5.64</v>
      </c>
      <c r="M193">
        <v>5.74</v>
      </c>
      <c r="N193">
        <v>5.63</v>
      </c>
      <c r="O193">
        <v>5.68</v>
      </c>
      <c r="P193">
        <v>95.48</v>
      </c>
      <c r="Q193">
        <v>39399200</v>
      </c>
      <c r="R193">
        <v>0.75</v>
      </c>
      <c r="S193" t="s">
        <v>137</v>
      </c>
      <c r="T193" t="s">
        <v>57</v>
      </c>
      <c r="U193">
        <v>1.94</v>
      </c>
      <c r="V193">
        <v>5.69</v>
      </c>
      <c r="W193">
        <v>35687</v>
      </c>
      <c r="X193">
        <v>33579</v>
      </c>
      <c r="Y193">
        <v>1.06</v>
      </c>
      <c r="Z193">
        <v>78</v>
      </c>
      <c r="AA193">
        <v>932</v>
      </c>
      <c r="AB193" t="s">
        <v>31</v>
      </c>
    </row>
    <row r="194" spans="1:28">
      <c r="A194" t="str">
        <f>"600230"</f>
        <v>600230</v>
      </c>
      <c r="B194" t="s">
        <v>326</v>
      </c>
      <c r="C194">
        <v>10.039999999999999</v>
      </c>
      <c r="D194">
        <v>13.26</v>
      </c>
      <c r="E194">
        <v>1.21</v>
      </c>
      <c r="F194">
        <v>13.26</v>
      </c>
      <c r="G194" t="s">
        <v>31</v>
      </c>
      <c r="H194">
        <v>85494</v>
      </c>
      <c r="I194">
        <v>5</v>
      </c>
      <c r="J194">
        <v>0</v>
      </c>
      <c r="K194">
        <v>3.3</v>
      </c>
      <c r="L194">
        <v>12.1</v>
      </c>
      <c r="M194">
        <v>13.26</v>
      </c>
      <c r="N194">
        <v>12.05</v>
      </c>
      <c r="O194">
        <v>12.05</v>
      </c>
      <c r="P194">
        <v>17.059999999999999</v>
      </c>
      <c r="Q194">
        <v>111348008</v>
      </c>
      <c r="R194">
        <v>6.72</v>
      </c>
      <c r="S194" t="s">
        <v>169</v>
      </c>
      <c r="T194" t="s">
        <v>224</v>
      </c>
      <c r="U194">
        <v>10.039999999999999</v>
      </c>
      <c r="V194">
        <v>13.02</v>
      </c>
      <c r="W194">
        <v>37959</v>
      </c>
      <c r="X194">
        <v>47535</v>
      </c>
      <c r="Y194">
        <v>0.8</v>
      </c>
      <c r="Z194">
        <v>9969</v>
      </c>
      <c r="AA194">
        <v>0</v>
      </c>
      <c r="AB194" t="s">
        <v>31</v>
      </c>
    </row>
    <row r="195" spans="1:28">
      <c r="A195" t="str">
        <f>"600231"</f>
        <v>600231</v>
      </c>
      <c r="B195" t="s">
        <v>327</v>
      </c>
      <c r="C195">
        <v>2.54</v>
      </c>
      <c r="D195">
        <v>3.23</v>
      </c>
      <c r="E195">
        <v>0.08</v>
      </c>
      <c r="F195">
        <v>3.22</v>
      </c>
      <c r="G195">
        <v>3.23</v>
      </c>
      <c r="H195">
        <v>41027</v>
      </c>
      <c r="I195">
        <v>10</v>
      </c>
      <c r="J195">
        <v>0</v>
      </c>
      <c r="K195">
        <v>0.51</v>
      </c>
      <c r="L195">
        <v>3.16</v>
      </c>
      <c r="M195">
        <v>3.25</v>
      </c>
      <c r="N195">
        <v>3.13</v>
      </c>
      <c r="O195">
        <v>3.15</v>
      </c>
      <c r="P195">
        <v>35.159999999999997</v>
      </c>
      <c r="Q195">
        <v>13100774</v>
      </c>
      <c r="R195">
        <v>0.87</v>
      </c>
      <c r="S195" t="s">
        <v>36</v>
      </c>
      <c r="T195" t="s">
        <v>142</v>
      </c>
      <c r="U195">
        <v>3.81</v>
      </c>
      <c r="V195">
        <v>3.19</v>
      </c>
      <c r="W195">
        <v>18408</v>
      </c>
      <c r="X195">
        <v>22619</v>
      </c>
      <c r="Y195">
        <v>0.81</v>
      </c>
      <c r="Z195">
        <v>444</v>
      </c>
      <c r="AA195">
        <v>1496</v>
      </c>
      <c r="AB195" t="s">
        <v>31</v>
      </c>
    </row>
    <row r="196" spans="1:28">
      <c r="A196" t="str">
        <f>"600232"</f>
        <v>600232</v>
      </c>
      <c r="B196" t="s">
        <v>328</v>
      </c>
      <c r="C196">
        <v>1.4</v>
      </c>
      <c r="D196">
        <v>4.3499999999999996</v>
      </c>
      <c r="E196">
        <v>0.06</v>
      </c>
      <c r="F196">
        <v>4.34</v>
      </c>
      <c r="G196">
        <v>4.3499999999999996</v>
      </c>
      <c r="H196">
        <v>18974</v>
      </c>
      <c r="I196">
        <v>10</v>
      </c>
      <c r="J196">
        <v>0.23</v>
      </c>
      <c r="K196">
        <v>0.52</v>
      </c>
      <c r="L196">
        <v>4.25</v>
      </c>
      <c r="M196">
        <v>4.3899999999999997</v>
      </c>
      <c r="N196">
        <v>4.2300000000000004</v>
      </c>
      <c r="O196">
        <v>4.29</v>
      </c>
      <c r="P196">
        <v>71.19</v>
      </c>
      <c r="Q196">
        <v>8179042</v>
      </c>
      <c r="R196">
        <v>0.56000000000000005</v>
      </c>
      <c r="S196" t="s">
        <v>127</v>
      </c>
      <c r="T196" t="s">
        <v>95</v>
      </c>
      <c r="U196">
        <v>3.73</v>
      </c>
      <c r="V196">
        <v>4.3099999999999996</v>
      </c>
      <c r="W196">
        <v>9149</v>
      </c>
      <c r="X196">
        <v>9825</v>
      </c>
      <c r="Y196">
        <v>0.93</v>
      </c>
      <c r="Z196">
        <v>125</v>
      </c>
      <c r="AA196">
        <v>112</v>
      </c>
      <c r="AB196" t="s">
        <v>31</v>
      </c>
    </row>
    <row r="197" spans="1:28">
      <c r="A197" t="str">
        <f>"600233"</f>
        <v>600233</v>
      </c>
      <c r="B197" t="s">
        <v>329</v>
      </c>
      <c r="C197">
        <v>1.07</v>
      </c>
      <c r="D197">
        <v>9.43</v>
      </c>
      <c r="E197">
        <v>0.1</v>
      </c>
      <c r="F197">
        <v>9.42</v>
      </c>
      <c r="G197">
        <v>9.43</v>
      </c>
      <c r="H197">
        <v>13535</v>
      </c>
      <c r="I197">
        <v>2</v>
      </c>
      <c r="J197">
        <v>0.1</v>
      </c>
      <c r="K197">
        <v>0.82</v>
      </c>
      <c r="L197">
        <v>9.33</v>
      </c>
      <c r="M197">
        <v>9.44</v>
      </c>
      <c r="N197">
        <v>9.23</v>
      </c>
      <c r="O197">
        <v>9.33</v>
      </c>
      <c r="P197">
        <v>27.87</v>
      </c>
      <c r="Q197">
        <v>12653582</v>
      </c>
      <c r="R197">
        <v>0.47</v>
      </c>
      <c r="S197" t="s">
        <v>158</v>
      </c>
      <c r="T197" t="s">
        <v>142</v>
      </c>
      <c r="U197">
        <v>2.25</v>
      </c>
      <c r="V197">
        <v>9.35</v>
      </c>
      <c r="W197">
        <v>6648</v>
      </c>
      <c r="X197">
        <v>6887</v>
      </c>
      <c r="Y197">
        <v>0.97</v>
      </c>
      <c r="Z197">
        <v>56</v>
      </c>
      <c r="AA197">
        <v>50</v>
      </c>
      <c r="AB197" t="s">
        <v>31</v>
      </c>
    </row>
    <row r="198" spans="1:28">
      <c r="A198" t="str">
        <f>"600234"</f>
        <v>600234</v>
      </c>
      <c r="B198" t="s">
        <v>330</v>
      </c>
      <c r="C198">
        <v>0</v>
      </c>
      <c r="D198">
        <v>5.77</v>
      </c>
      <c r="E198">
        <v>0</v>
      </c>
      <c r="F198" t="s">
        <v>31</v>
      </c>
      <c r="G198" t="s">
        <v>31</v>
      </c>
      <c r="H198">
        <v>0</v>
      </c>
      <c r="I198">
        <v>0</v>
      </c>
      <c r="J198">
        <v>0</v>
      </c>
      <c r="K198">
        <v>0</v>
      </c>
      <c r="L198" t="s">
        <v>31</v>
      </c>
      <c r="M198" t="s">
        <v>31</v>
      </c>
      <c r="N198" t="s">
        <v>31</v>
      </c>
      <c r="O198">
        <v>5.77</v>
      </c>
      <c r="P198" t="s">
        <v>31</v>
      </c>
      <c r="Q198">
        <v>0</v>
      </c>
      <c r="R198">
        <v>0</v>
      </c>
      <c r="S198" t="s">
        <v>113</v>
      </c>
      <c r="T198" t="s">
        <v>212</v>
      </c>
      <c r="U198">
        <v>0</v>
      </c>
      <c r="V198">
        <v>5.77</v>
      </c>
      <c r="W198">
        <v>0</v>
      </c>
      <c r="X198">
        <v>0</v>
      </c>
      <c r="Y198" t="s">
        <v>31</v>
      </c>
      <c r="Z198">
        <v>0</v>
      </c>
      <c r="AA198">
        <v>0</v>
      </c>
      <c r="AB198" t="s">
        <v>31</v>
      </c>
    </row>
    <row r="199" spans="1:28">
      <c r="A199" t="str">
        <f>"600235"</f>
        <v>600235</v>
      </c>
      <c r="B199" t="s">
        <v>331</v>
      </c>
      <c r="C199">
        <v>1.1100000000000001</v>
      </c>
      <c r="D199">
        <v>6.36</v>
      </c>
      <c r="E199">
        <v>7.0000000000000007E-2</v>
      </c>
      <c r="F199">
        <v>6.35</v>
      </c>
      <c r="G199">
        <v>6.36</v>
      </c>
      <c r="H199">
        <v>11902</v>
      </c>
      <c r="I199">
        <v>5</v>
      </c>
      <c r="J199">
        <v>0.31</v>
      </c>
      <c r="K199">
        <v>0.45</v>
      </c>
      <c r="L199">
        <v>6.3</v>
      </c>
      <c r="M199">
        <v>6.38</v>
      </c>
      <c r="N199">
        <v>6.29</v>
      </c>
      <c r="O199">
        <v>6.29</v>
      </c>
      <c r="P199">
        <v>141.66</v>
      </c>
      <c r="Q199">
        <v>7546127</v>
      </c>
      <c r="R199">
        <v>0.65</v>
      </c>
      <c r="S199" t="s">
        <v>125</v>
      </c>
      <c r="T199" t="s">
        <v>95</v>
      </c>
      <c r="U199">
        <v>1.43</v>
      </c>
      <c r="V199">
        <v>6.34</v>
      </c>
      <c r="W199">
        <v>6648</v>
      </c>
      <c r="X199">
        <v>5254</v>
      </c>
      <c r="Y199">
        <v>1.27</v>
      </c>
      <c r="Z199">
        <v>243</v>
      </c>
      <c r="AA199">
        <v>345</v>
      </c>
      <c r="AB199" t="s">
        <v>31</v>
      </c>
    </row>
    <row r="200" spans="1:28">
      <c r="A200" t="str">
        <f>"600236"</f>
        <v>600236</v>
      </c>
      <c r="B200" t="s">
        <v>332</v>
      </c>
      <c r="C200">
        <v>4.0999999999999996</v>
      </c>
      <c r="D200">
        <v>3.3</v>
      </c>
      <c r="E200">
        <v>0.13</v>
      </c>
      <c r="F200">
        <v>3.3</v>
      </c>
      <c r="G200">
        <v>3.31</v>
      </c>
      <c r="H200">
        <v>131056</v>
      </c>
      <c r="I200">
        <v>38</v>
      </c>
      <c r="J200">
        <v>0.6</v>
      </c>
      <c r="K200">
        <v>1.1599999999999999</v>
      </c>
      <c r="L200">
        <v>3.17</v>
      </c>
      <c r="M200">
        <v>3.36</v>
      </c>
      <c r="N200">
        <v>3.14</v>
      </c>
      <c r="O200">
        <v>3.17</v>
      </c>
      <c r="P200">
        <v>15.7</v>
      </c>
      <c r="Q200">
        <v>42937656</v>
      </c>
      <c r="R200">
        <v>1.76</v>
      </c>
      <c r="S200" t="s">
        <v>179</v>
      </c>
      <c r="T200" t="s">
        <v>333</v>
      </c>
      <c r="U200">
        <v>6.94</v>
      </c>
      <c r="V200">
        <v>3.28</v>
      </c>
      <c r="W200">
        <v>54861</v>
      </c>
      <c r="X200">
        <v>76195</v>
      </c>
      <c r="Y200">
        <v>0.72</v>
      </c>
      <c r="Z200">
        <v>2080</v>
      </c>
      <c r="AA200">
        <v>1193</v>
      </c>
      <c r="AB200" t="s">
        <v>31</v>
      </c>
    </row>
    <row r="201" spans="1:28">
      <c r="A201" t="str">
        <f>"600237"</f>
        <v>600237</v>
      </c>
      <c r="B201" t="s">
        <v>334</v>
      </c>
      <c r="C201">
        <v>-1.62</v>
      </c>
      <c r="D201">
        <v>5.46</v>
      </c>
      <c r="E201">
        <v>-0.09</v>
      </c>
      <c r="F201">
        <v>5.44</v>
      </c>
      <c r="G201">
        <v>5.46</v>
      </c>
      <c r="H201">
        <v>120344</v>
      </c>
      <c r="I201">
        <v>310</v>
      </c>
      <c r="J201">
        <v>-0.36</v>
      </c>
      <c r="K201">
        <v>3.01</v>
      </c>
      <c r="L201">
        <v>5.45</v>
      </c>
      <c r="M201">
        <v>5.56</v>
      </c>
      <c r="N201">
        <v>5.4</v>
      </c>
      <c r="O201">
        <v>5.55</v>
      </c>
      <c r="P201">
        <v>78.09</v>
      </c>
      <c r="Q201">
        <v>66284196</v>
      </c>
      <c r="R201">
        <v>0.99</v>
      </c>
      <c r="S201" t="s">
        <v>153</v>
      </c>
      <c r="T201" t="s">
        <v>52</v>
      </c>
      <c r="U201">
        <v>2.88</v>
      </c>
      <c r="V201">
        <v>5.51</v>
      </c>
      <c r="W201">
        <v>36666</v>
      </c>
      <c r="X201">
        <v>83678</v>
      </c>
      <c r="Y201">
        <v>0.44</v>
      </c>
      <c r="Z201">
        <v>409</v>
      </c>
      <c r="AA201">
        <v>432</v>
      </c>
      <c r="AB201" t="s">
        <v>31</v>
      </c>
    </row>
    <row r="202" spans="1:28">
      <c r="A202" t="str">
        <f>"600238"</f>
        <v>600238</v>
      </c>
      <c r="B202" t="s">
        <v>335</v>
      </c>
      <c r="C202">
        <v>0.8</v>
      </c>
      <c r="D202">
        <v>8.77</v>
      </c>
      <c r="E202">
        <v>7.0000000000000007E-2</v>
      </c>
      <c r="F202">
        <v>8.75</v>
      </c>
      <c r="G202">
        <v>8.77</v>
      </c>
      <c r="H202">
        <v>388612</v>
      </c>
      <c r="I202">
        <v>10</v>
      </c>
      <c r="J202">
        <v>-0.11</v>
      </c>
      <c r="K202">
        <v>8.7899999999999991</v>
      </c>
      <c r="L202">
        <v>8.7100000000000009</v>
      </c>
      <c r="M202">
        <v>9.1199999999999992</v>
      </c>
      <c r="N202">
        <v>8.51</v>
      </c>
      <c r="O202">
        <v>8.6999999999999993</v>
      </c>
      <c r="P202">
        <v>26.13</v>
      </c>
      <c r="Q202">
        <v>341010688</v>
      </c>
      <c r="R202">
        <v>2</v>
      </c>
      <c r="S202" t="s">
        <v>111</v>
      </c>
      <c r="T202" t="s">
        <v>302</v>
      </c>
      <c r="U202">
        <v>7.01</v>
      </c>
      <c r="V202">
        <v>8.7799999999999994</v>
      </c>
      <c r="W202">
        <v>174244</v>
      </c>
      <c r="X202">
        <v>214368</v>
      </c>
      <c r="Y202">
        <v>0.81</v>
      </c>
      <c r="Z202">
        <v>215</v>
      </c>
      <c r="AA202">
        <v>82</v>
      </c>
      <c r="AB202" t="s">
        <v>31</v>
      </c>
    </row>
    <row r="203" spans="1:28">
      <c r="A203" t="str">
        <f>"600239"</f>
        <v>600239</v>
      </c>
      <c r="B203" t="s">
        <v>336</v>
      </c>
      <c r="C203">
        <v>0.91</v>
      </c>
      <c r="D203">
        <v>5.54</v>
      </c>
      <c r="E203">
        <v>0.05</v>
      </c>
      <c r="F203">
        <v>5.53</v>
      </c>
      <c r="G203">
        <v>5.54</v>
      </c>
      <c r="H203">
        <v>40411</v>
      </c>
      <c r="I203">
        <v>473</v>
      </c>
      <c r="J203">
        <v>0.18</v>
      </c>
      <c r="K203">
        <v>0.49</v>
      </c>
      <c r="L203">
        <v>5.48</v>
      </c>
      <c r="M203">
        <v>5.58</v>
      </c>
      <c r="N203">
        <v>5.43</v>
      </c>
      <c r="O203">
        <v>5.49</v>
      </c>
      <c r="P203">
        <v>169.72</v>
      </c>
      <c r="Q203">
        <v>22286552</v>
      </c>
      <c r="R203">
        <v>0.43</v>
      </c>
      <c r="S203" t="s">
        <v>97</v>
      </c>
      <c r="T203" t="s">
        <v>170</v>
      </c>
      <c r="U203">
        <v>2.73</v>
      </c>
      <c r="V203">
        <v>5.51</v>
      </c>
      <c r="W203">
        <v>22295</v>
      </c>
      <c r="X203">
        <v>18116</v>
      </c>
      <c r="Y203">
        <v>1.23</v>
      </c>
      <c r="Z203">
        <v>300</v>
      </c>
      <c r="AA203">
        <v>205</v>
      </c>
      <c r="AB203" t="s">
        <v>31</v>
      </c>
    </row>
    <row r="204" spans="1:28">
      <c r="A204" t="str">
        <f>"600240"</f>
        <v>600240</v>
      </c>
      <c r="B204" t="s">
        <v>337</v>
      </c>
      <c r="C204">
        <v>1.85</v>
      </c>
      <c r="D204">
        <v>4.95</v>
      </c>
      <c r="E204">
        <v>0.09</v>
      </c>
      <c r="F204">
        <v>4.95</v>
      </c>
      <c r="G204">
        <v>4.96</v>
      </c>
      <c r="H204">
        <v>97859</v>
      </c>
      <c r="I204">
        <v>9</v>
      </c>
      <c r="J204">
        <v>0</v>
      </c>
      <c r="K204">
        <v>0.69</v>
      </c>
      <c r="L204">
        <v>4.88</v>
      </c>
      <c r="M204">
        <v>4.97</v>
      </c>
      <c r="N204">
        <v>4.8099999999999996</v>
      </c>
      <c r="O204">
        <v>4.8600000000000003</v>
      </c>
      <c r="P204">
        <v>23.63</v>
      </c>
      <c r="Q204">
        <v>47800132</v>
      </c>
      <c r="R204">
        <v>0.51</v>
      </c>
      <c r="S204" t="s">
        <v>90</v>
      </c>
      <c r="T204" t="s">
        <v>42</v>
      </c>
      <c r="U204">
        <v>3.29</v>
      </c>
      <c r="V204">
        <v>4.88</v>
      </c>
      <c r="W204">
        <v>57781</v>
      </c>
      <c r="X204">
        <v>40078</v>
      </c>
      <c r="Y204">
        <v>1.44</v>
      </c>
      <c r="Z204">
        <v>11</v>
      </c>
      <c r="AA204">
        <v>67</v>
      </c>
      <c r="AB204" t="s">
        <v>31</v>
      </c>
    </row>
    <row r="205" spans="1:28">
      <c r="A205" t="str">
        <f>"600241"</f>
        <v>600241</v>
      </c>
      <c r="B205" t="s">
        <v>338</v>
      </c>
      <c r="C205">
        <v>0.46</v>
      </c>
      <c r="D205">
        <v>6.53</v>
      </c>
      <c r="E205">
        <v>0.03</v>
      </c>
      <c r="F205">
        <v>6.53</v>
      </c>
      <c r="G205">
        <v>6.55</v>
      </c>
      <c r="H205">
        <v>6671</v>
      </c>
      <c r="I205">
        <v>1</v>
      </c>
      <c r="J205">
        <v>0</v>
      </c>
      <c r="K205">
        <v>0.37</v>
      </c>
      <c r="L205">
        <v>6.32</v>
      </c>
      <c r="M205">
        <v>6.55</v>
      </c>
      <c r="N205">
        <v>6.32</v>
      </c>
      <c r="O205">
        <v>6.5</v>
      </c>
      <c r="P205">
        <v>67.75</v>
      </c>
      <c r="Q205">
        <v>4326976</v>
      </c>
      <c r="R205">
        <v>0.51</v>
      </c>
      <c r="S205" t="s">
        <v>109</v>
      </c>
      <c r="T205" t="s">
        <v>142</v>
      </c>
      <c r="U205">
        <v>3.54</v>
      </c>
      <c r="V205">
        <v>6.49</v>
      </c>
      <c r="W205">
        <v>3380</v>
      </c>
      <c r="X205">
        <v>3291</v>
      </c>
      <c r="Y205">
        <v>1.03</v>
      </c>
      <c r="Z205">
        <v>96</v>
      </c>
      <c r="AA205">
        <v>124</v>
      </c>
      <c r="AB205" t="s">
        <v>31</v>
      </c>
    </row>
    <row r="206" spans="1:28">
      <c r="A206" t="str">
        <f>"600242"</f>
        <v>600242</v>
      </c>
      <c r="B206" t="s">
        <v>339</v>
      </c>
      <c r="C206">
        <v>1.61</v>
      </c>
      <c r="D206">
        <v>5.05</v>
      </c>
      <c r="E206">
        <v>0.08</v>
      </c>
      <c r="F206">
        <v>5.05</v>
      </c>
      <c r="G206">
        <v>5.0599999999999996</v>
      </c>
      <c r="H206">
        <v>10923</v>
      </c>
      <c r="I206">
        <v>176</v>
      </c>
      <c r="J206">
        <v>-0.19</v>
      </c>
      <c r="K206">
        <v>0.41</v>
      </c>
      <c r="L206">
        <v>4.91</v>
      </c>
      <c r="M206">
        <v>5.07</v>
      </c>
      <c r="N206">
        <v>4.91</v>
      </c>
      <c r="O206">
        <v>4.97</v>
      </c>
      <c r="P206" t="s">
        <v>31</v>
      </c>
      <c r="Q206">
        <v>5466689</v>
      </c>
      <c r="R206">
        <v>0.33</v>
      </c>
      <c r="S206" t="s">
        <v>65</v>
      </c>
      <c r="T206" t="s">
        <v>34</v>
      </c>
      <c r="U206">
        <v>3.22</v>
      </c>
      <c r="V206">
        <v>5</v>
      </c>
      <c r="W206">
        <v>5609</v>
      </c>
      <c r="X206">
        <v>5314</v>
      </c>
      <c r="Y206">
        <v>1.06</v>
      </c>
      <c r="Z206">
        <v>139</v>
      </c>
      <c r="AA206">
        <v>901</v>
      </c>
      <c r="AB206" t="s">
        <v>31</v>
      </c>
    </row>
    <row r="207" spans="1:28">
      <c r="A207" t="str">
        <f>"600243"</f>
        <v>600243</v>
      </c>
      <c r="B207" t="s">
        <v>340</v>
      </c>
      <c r="C207">
        <v>5.21</v>
      </c>
      <c r="D207">
        <v>6.46</v>
      </c>
      <c r="E207">
        <v>0.32</v>
      </c>
      <c r="F207">
        <v>6.45</v>
      </c>
      <c r="G207">
        <v>6.46</v>
      </c>
      <c r="H207">
        <v>132801</v>
      </c>
      <c r="I207">
        <v>11</v>
      </c>
      <c r="J207">
        <v>-0.15</v>
      </c>
      <c r="K207">
        <v>5.61</v>
      </c>
      <c r="L207">
        <v>6.15</v>
      </c>
      <c r="M207">
        <v>6.55</v>
      </c>
      <c r="N207">
        <v>6.1</v>
      </c>
      <c r="O207">
        <v>6.14</v>
      </c>
      <c r="P207">
        <v>28.39</v>
      </c>
      <c r="Q207">
        <v>84741744</v>
      </c>
      <c r="R207">
        <v>2.57</v>
      </c>
      <c r="S207" t="s">
        <v>341</v>
      </c>
      <c r="T207" t="s">
        <v>203</v>
      </c>
      <c r="U207">
        <v>7.33</v>
      </c>
      <c r="V207">
        <v>6.38</v>
      </c>
      <c r="W207">
        <v>55866</v>
      </c>
      <c r="X207">
        <v>76935</v>
      </c>
      <c r="Y207">
        <v>0.73</v>
      </c>
      <c r="Z207">
        <v>503</v>
      </c>
      <c r="AA207">
        <v>49</v>
      </c>
      <c r="AB207" t="s">
        <v>31</v>
      </c>
    </row>
    <row r="208" spans="1:28">
      <c r="A208" t="str">
        <f>"600246"</f>
        <v>600246</v>
      </c>
      <c r="B208" t="s">
        <v>342</v>
      </c>
      <c r="C208">
        <v>1.9</v>
      </c>
      <c r="D208">
        <v>3.22</v>
      </c>
      <c r="E208">
        <v>0.06</v>
      </c>
      <c r="F208">
        <v>3.22</v>
      </c>
      <c r="G208">
        <v>3.23</v>
      </c>
      <c r="H208">
        <v>25088</v>
      </c>
      <c r="I208">
        <v>441</v>
      </c>
      <c r="J208">
        <v>0</v>
      </c>
      <c r="K208">
        <v>0.21</v>
      </c>
      <c r="L208">
        <v>3.17</v>
      </c>
      <c r="M208">
        <v>3.24</v>
      </c>
      <c r="N208">
        <v>3.15</v>
      </c>
      <c r="O208">
        <v>3.16</v>
      </c>
      <c r="P208">
        <v>16.27</v>
      </c>
      <c r="Q208">
        <v>8032539</v>
      </c>
      <c r="R208">
        <v>0.96</v>
      </c>
      <c r="S208" t="s">
        <v>97</v>
      </c>
      <c r="T208" t="s">
        <v>42</v>
      </c>
      <c r="U208">
        <v>2.85</v>
      </c>
      <c r="V208">
        <v>3.2</v>
      </c>
      <c r="W208">
        <v>13002</v>
      </c>
      <c r="X208">
        <v>12086</v>
      </c>
      <c r="Y208">
        <v>1.08</v>
      </c>
      <c r="Z208">
        <v>1558</v>
      </c>
      <c r="AA208">
        <v>1581</v>
      </c>
      <c r="AB208" t="s">
        <v>31</v>
      </c>
    </row>
    <row r="209" spans="1:28">
      <c r="A209" t="str">
        <f>"600247"</f>
        <v>600247</v>
      </c>
      <c r="B209" t="s">
        <v>343</v>
      </c>
      <c r="C209">
        <v>3.64</v>
      </c>
      <c r="D209">
        <v>4.55</v>
      </c>
      <c r="E209">
        <v>0.16</v>
      </c>
      <c r="F209">
        <v>4.54</v>
      </c>
      <c r="G209">
        <v>4.55</v>
      </c>
      <c r="H209">
        <v>53865</v>
      </c>
      <c r="I209">
        <v>5</v>
      </c>
      <c r="J209">
        <v>0.44</v>
      </c>
      <c r="K209">
        <v>1.6</v>
      </c>
      <c r="L209">
        <v>4.3600000000000003</v>
      </c>
      <c r="M209">
        <v>4.57</v>
      </c>
      <c r="N209">
        <v>4.33</v>
      </c>
      <c r="O209">
        <v>4.3899999999999997</v>
      </c>
      <c r="P209">
        <v>826.27</v>
      </c>
      <c r="Q209">
        <v>24153388</v>
      </c>
      <c r="R209">
        <v>0.94</v>
      </c>
      <c r="S209" t="s">
        <v>109</v>
      </c>
      <c r="T209" t="s">
        <v>191</v>
      </c>
      <c r="U209">
        <v>5.47</v>
      </c>
      <c r="V209">
        <v>4.4800000000000004</v>
      </c>
      <c r="W209">
        <v>24620</v>
      </c>
      <c r="X209">
        <v>29245</v>
      </c>
      <c r="Y209">
        <v>0.84</v>
      </c>
      <c r="Z209">
        <v>97</v>
      </c>
      <c r="AA209">
        <v>534</v>
      </c>
      <c r="AB209" t="s">
        <v>31</v>
      </c>
    </row>
    <row r="210" spans="1:28">
      <c r="A210" t="str">
        <f>"600248"</f>
        <v>600248</v>
      </c>
      <c r="B210" t="s">
        <v>344</v>
      </c>
      <c r="C210">
        <v>4.51</v>
      </c>
      <c r="D210">
        <v>7.88</v>
      </c>
      <c r="E210">
        <v>0.34</v>
      </c>
      <c r="F210">
        <v>7.86</v>
      </c>
      <c r="G210">
        <v>7.89</v>
      </c>
      <c r="H210">
        <v>49599</v>
      </c>
      <c r="I210">
        <v>300</v>
      </c>
      <c r="J210">
        <v>-0.37</v>
      </c>
      <c r="K210">
        <v>1.7</v>
      </c>
      <c r="L210">
        <v>7.44</v>
      </c>
      <c r="M210">
        <v>7.95</v>
      </c>
      <c r="N210">
        <v>7.42</v>
      </c>
      <c r="O210">
        <v>7.54</v>
      </c>
      <c r="P210">
        <v>15.58</v>
      </c>
      <c r="Q210">
        <v>38411672</v>
      </c>
      <c r="R210">
        <v>1.49</v>
      </c>
      <c r="S210" t="s">
        <v>87</v>
      </c>
      <c r="T210" t="s">
        <v>147</v>
      </c>
      <c r="U210">
        <v>7.03</v>
      </c>
      <c r="V210">
        <v>7.74</v>
      </c>
      <c r="W210">
        <v>25183</v>
      </c>
      <c r="X210">
        <v>24416</v>
      </c>
      <c r="Y210">
        <v>1.03</v>
      </c>
      <c r="Z210">
        <v>50</v>
      </c>
      <c r="AA210">
        <v>856</v>
      </c>
      <c r="AB210" t="s">
        <v>31</v>
      </c>
    </row>
    <row r="211" spans="1:28">
      <c r="A211" t="str">
        <f>"600249"</f>
        <v>600249</v>
      </c>
      <c r="B211" t="s">
        <v>345</v>
      </c>
      <c r="C211">
        <v>1.91</v>
      </c>
      <c r="D211">
        <v>5.86</v>
      </c>
      <c r="E211">
        <v>0.11</v>
      </c>
      <c r="F211">
        <v>5.85</v>
      </c>
      <c r="G211">
        <v>5.86</v>
      </c>
      <c r="H211">
        <v>21714</v>
      </c>
      <c r="I211">
        <v>236</v>
      </c>
      <c r="J211">
        <v>-0.34</v>
      </c>
      <c r="K211">
        <v>0.48</v>
      </c>
      <c r="L211">
        <v>5.78</v>
      </c>
      <c r="M211">
        <v>5.88</v>
      </c>
      <c r="N211">
        <v>5.71</v>
      </c>
      <c r="O211">
        <v>5.75</v>
      </c>
      <c r="P211">
        <v>544.16</v>
      </c>
      <c r="Q211">
        <v>12610427</v>
      </c>
      <c r="R211">
        <v>0.61</v>
      </c>
      <c r="S211" t="s">
        <v>346</v>
      </c>
      <c r="T211" t="s">
        <v>333</v>
      </c>
      <c r="U211">
        <v>2.96</v>
      </c>
      <c r="V211">
        <v>5.81</v>
      </c>
      <c r="W211">
        <v>10696</v>
      </c>
      <c r="X211">
        <v>11018</v>
      </c>
      <c r="Y211">
        <v>0.97</v>
      </c>
      <c r="Z211">
        <v>112</v>
      </c>
      <c r="AA211">
        <v>94</v>
      </c>
      <c r="AB211" t="s">
        <v>31</v>
      </c>
    </row>
    <row r="212" spans="1:28">
      <c r="A212" t="str">
        <f>"600250"</f>
        <v>600250</v>
      </c>
      <c r="B212" t="s">
        <v>347</v>
      </c>
      <c r="C212">
        <v>-2.44</v>
      </c>
      <c r="D212">
        <v>5.99</v>
      </c>
      <c r="E212">
        <v>-0.15</v>
      </c>
      <c r="F212">
        <v>5.98</v>
      </c>
      <c r="G212">
        <v>5.99</v>
      </c>
      <c r="H212">
        <v>18551</v>
      </c>
      <c r="I212">
        <v>25</v>
      </c>
      <c r="J212">
        <v>0.16</v>
      </c>
      <c r="K212">
        <v>0.72</v>
      </c>
      <c r="L212">
        <v>6.16</v>
      </c>
      <c r="M212">
        <v>6.27</v>
      </c>
      <c r="N212">
        <v>5.91</v>
      </c>
      <c r="O212">
        <v>6.14</v>
      </c>
      <c r="P212" t="s">
        <v>31</v>
      </c>
      <c r="Q212">
        <v>11224095</v>
      </c>
      <c r="R212">
        <v>0.91</v>
      </c>
      <c r="S212" t="s">
        <v>109</v>
      </c>
      <c r="T212" t="s">
        <v>120</v>
      </c>
      <c r="U212">
        <v>5.86</v>
      </c>
      <c r="V212">
        <v>6.05</v>
      </c>
      <c r="W212">
        <v>12142</v>
      </c>
      <c r="X212">
        <v>6409</v>
      </c>
      <c r="Y212">
        <v>1.89</v>
      </c>
      <c r="Z212">
        <v>96</v>
      </c>
      <c r="AA212">
        <v>225</v>
      </c>
      <c r="AB212" t="s">
        <v>31</v>
      </c>
    </row>
    <row r="213" spans="1:28">
      <c r="A213" t="str">
        <f>"600251"</f>
        <v>600251</v>
      </c>
      <c r="B213" t="s">
        <v>348</v>
      </c>
      <c r="C213">
        <v>1.42</v>
      </c>
      <c r="D213">
        <v>14.98</v>
      </c>
      <c r="E213">
        <v>0.21</v>
      </c>
      <c r="F213">
        <v>14.98</v>
      </c>
      <c r="G213">
        <v>14.99</v>
      </c>
      <c r="H213">
        <v>31862</v>
      </c>
      <c r="I213">
        <v>2</v>
      </c>
      <c r="J213">
        <v>-0.13</v>
      </c>
      <c r="K213">
        <v>0.88</v>
      </c>
      <c r="L213">
        <v>14.75</v>
      </c>
      <c r="M213">
        <v>15.09</v>
      </c>
      <c r="N213">
        <v>14.6</v>
      </c>
      <c r="O213">
        <v>14.77</v>
      </c>
      <c r="P213">
        <v>22.4</v>
      </c>
      <c r="Q213">
        <v>47516668</v>
      </c>
      <c r="R213">
        <v>0.55000000000000004</v>
      </c>
      <c r="S213" t="s">
        <v>187</v>
      </c>
      <c r="T213" t="s">
        <v>138</v>
      </c>
      <c r="U213">
        <v>3.32</v>
      </c>
      <c r="V213">
        <v>14.91</v>
      </c>
      <c r="W213">
        <v>14872</v>
      </c>
      <c r="X213">
        <v>16990</v>
      </c>
      <c r="Y213">
        <v>0.88</v>
      </c>
      <c r="Z213">
        <v>35</v>
      </c>
      <c r="AA213">
        <v>145</v>
      </c>
      <c r="AB213" t="s">
        <v>31</v>
      </c>
    </row>
    <row r="214" spans="1:28">
      <c r="A214" t="str">
        <f>"600252"</f>
        <v>600252</v>
      </c>
      <c r="B214" t="s">
        <v>349</v>
      </c>
      <c r="C214">
        <v>1.27</v>
      </c>
      <c r="D214">
        <v>13.58</v>
      </c>
      <c r="E214">
        <v>0.17</v>
      </c>
      <c r="F214">
        <v>13.56</v>
      </c>
      <c r="G214">
        <v>13.59</v>
      </c>
      <c r="H214">
        <v>65737</v>
      </c>
      <c r="I214">
        <v>5</v>
      </c>
      <c r="J214">
        <v>-7.0000000000000007E-2</v>
      </c>
      <c r="K214">
        <v>0.6</v>
      </c>
      <c r="L214">
        <v>13.5</v>
      </c>
      <c r="M214">
        <v>13.61</v>
      </c>
      <c r="N214">
        <v>13.42</v>
      </c>
      <c r="O214">
        <v>13.41</v>
      </c>
      <c r="P214">
        <v>19.899999999999999</v>
      </c>
      <c r="Q214">
        <v>88906432</v>
      </c>
      <c r="R214">
        <v>0.35</v>
      </c>
      <c r="S214" t="s">
        <v>156</v>
      </c>
      <c r="T214" t="s">
        <v>333</v>
      </c>
      <c r="U214">
        <v>1.42</v>
      </c>
      <c r="V214">
        <v>13.52</v>
      </c>
      <c r="W214">
        <v>37660</v>
      </c>
      <c r="X214">
        <v>28077</v>
      </c>
      <c r="Y214">
        <v>1.34</v>
      </c>
      <c r="Z214">
        <v>51</v>
      </c>
      <c r="AA214">
        <v>98</v>
      </c>
      <c r="AB214" t="s">
        <v>31</v>
      </c>
    </row>
    <row r="215" spans="1:28">
      <c r="A215" t="str">
        <f>"600255"</f>
        <v>600255</v>
      </c>
      <c r="B215" t="s">
        <v>350</v>
      </c>
      <c r="C215">
        <v>0.79</v>
      </c>
      <c r="D215">
        <v>6.37</v>
      </c>
      <c r="E215">
        <v>0.05</v>
      </c>
      <c r="F215">
        <v>6.38</v>
      </c>
      <c r="G215">
        <v>6.39</v>
      </c>
      <c r="H215">
        <v>20460</v>
      </c>
      <c r="I215">
        <v>59</v>
      </c>
      <c r="J215">
        <v>-0.15</v>
      </c>
      <c r="K215">
        <v>0.46</v>
      </c>
      <c r="L215">
        <v>6.32</v>
      </c>
      <c r="M215">
        <v>6.44</v>
      </c>
      <c r="N215">
        <v>6.24</v>
      </c>
      <c r="O215">
        <v>6.32</v>
      </c>
      <c r="P215" t="s">
        <v>31</v>
      </c>
      <c r="Q215">
        <v>12982653</v>
      </c>
      <c r="R215">
        <v>0.56999999999999995</v>
      </c>
      <c r="S215" t="s">
        <v>230</v>
      </c>
      <c r="T215" t="s">
        <v>52</v>
      </c>
      <c r="U215">
        <v>3.16</v>
      </c>
      <c r="V215">
        <v>6.35</v>
      </c>
      <c r="W215">
        <v>9119</v>
      </c>
      <c r="X215">
        <v>11341</v>
      </c>
      <c r="Y215">
        <v>0.8</v>
      </c>
      <c r="Z215">
        <v>98</v>
      </c>
      <c r="AA215">
        <v>256</v>
      </c>
      <c r="AB215" t="s">
        <v>31</v>
      </c>
    </row>
    <row r="216" spans="1:28">
      <c r="A216" t="str">
        <f>"600256"</f>
        <v>600256</v>
      </c>
      <c r="B216" t="s">
        <v>351</v>
      </c>
      <c r="C216">
        <v>-1.1599999999999999</v>
      </c>
      <c r="D216">
        <v>11.93</v>
      </c>
      <c r="E216">
        <v>-0.14000000000000001</v>
      </c>
      <c r="F216">
        <v>11.94</v>
      </c>
      <c r="G216">
        <v>11.95</v>
      </c>
      <c r="H216">
        <v>522747</v>
      </c>
      <c r="I216">
        <v>2073</v>
      </c>
      <c r="J216">
        <v>-0.41</v>
      </c>
      <c r="K216">
        <v>1.7</v>
      </c>
      <c r="L216">
        <v>11.8</v>
      </c>
      <c r="M216">
        <v>12.26</v>
      </c>
      <c r="N216">
        <v>11.77</v>
      </c>
      <c r="O216">
        <v>12.07</v>
      </c>
      <c r="P216">
        <v>56.2</v>
      </c>
      <c r="Q216">
        <v>625766720</v>
      </c>
      <c r="R216">
        <v>1.08</v>
      </c>
      <c r="S216" t="s">
        <v>94</v>
      </c>
      <c r="T216" t="s">
        <v>138</v>
      </c>
      <c r="U216">
        <v>4.0599999999999996</v>
      </c>
      <c r="V216">
        <v>11.97</v>
      </c>
      <c r="W216">
        <v>273191</v>
      </c>
      <c r="X216">
        <v>249556</v>
      </c>
      <c r="Y216">
        <v>1.0900000000000001</v>
      </c>
      <c r="Z216">
        <v>1285</v>
      </c>
      <c r="AA216">
        <v>357</v>
      </c>
      <c r="AB216" t="s">
        <v>31</v>
      </c>
    </row>
    <row r="217" spans="1:28">
      <c r="A217" t="str">
        <f>"600257"</f>
        <v>600257</v>
      </c>
      <c r="B217" t="s">
        <v>352</v>
      </c>
      <c r="C217">
        <v>1.64</v>
      </c>
      <c r="D217">
        <v>8.0500000000000007</v>
      </c>
      <c r="E217">
        <v>0.13</v>
      </c>
      <c r="F217">
        <v>8.02</v>
      </c>
      <c r="G217">
        <v>8.0299999999999994</v>
      </c>
      <c r="H217">
        <v>239288</v>
      </c>
      <c r="I217">
        <v>885</v>
      </c>
      <c r="J217">
        <v>0</v>
      </c>
      <c r="K217">
        <v>5.6</v>
      </c>
      <c r="L217">
        <v>7.8</v>
      </c>
      <c r="M217">
        <v>8.08</v>
      </c>
      <c r="N217">
        <v>7.65</v>
      </c>
      <c r="O217">
        <v>7.92</v>
      </c>
      <c r="P217">
        <v>7.68</v>
      </c>
      <c r="Q217">
        <v>188862480</v>
      </c>
      <c r="R217">
        <v>0.8</v>
      </c>
      <c r="S217" t="s">
        <v>172</v>
      </c>
      <c r="T217" t="s">
        <v>76</v>
      </c>
      <c r="U217">
        <v>5.43</v>
      </c>
      <c r="V217">
        <v>7.89</v>
      </c>
      <c r="W217">
        <v>110701</v>
      </c>
      <c r="X217">
        <v>128587</v>
      </c>
      <c r="Y217">
        <v>0.86</v>
      </c>
      <c r="Z217">
        <v>477</v>
      </c>
      <c r="AA217">
        <v>1673</v>
      </c>
      <c r="AB217" t="s">
        <v>31</v>
      </c>
    </row>
    <row r="218" spans="1:28">
      <c r="A218" t="str">
        <f>"600258"</f>
        <v>600258</v>
      </c>
      <c r="B218" t="s">
        <v>353</v>
      </c>
      <c r="C218">
        <v>0.63</v>
      </c>
      <c r="D218">
        <v>12.71</v>
      </c>
      <c r="E218">
        <v>0.08</v>
      </c>
      <c r="F218">
        <v>12.71</v>
      </c>
      <c r="G218">
        <v>12.72</v>
      </c>
      <c r="H218">
        <v>6492</v>
      </c>
      <c r="I218">
        <v>3</v>
      </c>
      <c r="J218">
        <v>-7.0000000000000007E-2</v>
      </c>
      <c r="K218">
        <v>0.28000000000000003</v>
      </c>
      <c r="L218">
        <v>12.51</v>
      </c>
      <c r="M218">
        <v>12.74</v>
      </c>
      <c r="N218">
        <v>12.51</v>
      </c>
      <c r="O218">
        <v>12.63</v>
      </c>
      <c r="P218">
        <v>22.93</v>
      </c>
      <c r="Q218">
        <v>8227603</v>
      </c>
      <c r="R218">
        <v>0.44</v>
      </c>
      <c r="S218" t="s">
        <v>354</v>
      </c>
      <c r="T218" t="s">
        <v>42</v>
      </c>
      <c r="U218">
        <v>1.82</v>
      </c>
      <c r="V218">
        <v>12.67</v>
      </c>
      <c r="W218">
        <v>3318</v>
      </c>
      <c r="X218">
        <v>3174</v>
      </c>
      <c r="Y218">
        <v>1.05</v>
      </c>
      <c r="Z218">
        <v>15</v>
      </c>
      <c r="AA218">
        <v>17</v>
      </c>
      <c r="AB218" t="s">
        <v>31</v>
      </c>
    </row>
    <row r="219" spans="1:28">
      <c r="A219" t="str">
        <f>"600259"</f>
        <v>600259</v>
      </c>
      <c r="B219" t="s">
        <v>355</v>
      </c>
      <c r="C219">
        <v>0.27</v>
      </c>
      <c r="D219">
        <v>40.9</v>
      </c>
      <c r="E219">
        <v>0.11</v>
      </c>
      <c r="F219">
        <v>40.89</v>
      </c>
      <c r="G219">
        <v>40.9</v>
      </c>
      <c r="H219">
        <v>18294</v>
      </c>
      <c r="I219">
        <v>4</v>
      </c>
      <c r="J219">
        <v>-0.02</v>
      </c>
      <c r="K219">
        <v>0.73</v>
      </c>
      <c r="L219">
        <v>40.130000000000003</v>
      </c>
      <c r="M219">
        <v>41.39</v>
      </c>
      <c r="N219">
        <v>40.130000000000003</v>
      </c>
      <c r="O219">
        <v>40.79</v>
      </c>
      <c r="P219" t="s">
        <v>31</v>
      </c>
      <c r="Q219">
        <v>74902392</v>
      </c>
      <c r="R219">
        <v>0.48</v>
      </c>
      <c r="S219" t="s">
        <v>193</v>
      </c>
      <c r="T219" t="s">
        <v>302</v>
      </c>
      <c r="U219">
        <v>3.09</v>
      </c>
      <c r="V219">
        <v>40.94</v>
      </c>
      <c r="W219">
        <v>9161</v>
      </c>
      <c r="X219">
        <v>9133</v>
      </c>
      <c r="Y219">
        <v>1</v>
      </c>
      <c r="Z219">
        <v>43</v>
      </c>
      <c r="AA219">
        <v>26</v>
      </c>
      <c r="AB219" t="s">
        <v>31</v>
      </c>
    </row>
    <row r="220" spans="1:28">
      <c r="A220" t="str">
        <f>"600260"</f>
        <v>600260</v>
      </c>
      <c r="B220" t="s">
        <v>356</v>
      </c>
      <c r="C220">
        <v>0.4</v>
      </c>
      <c r="D220">
        <v>7.59</v>
      </c>
      <c r="E220">
        <v>0.03</v>
      </c>
      <c r="F220">
        <v>7.58</v>
      </c>
      <c r="G220">
        <v>7.59</v>
      </c>
      <c r="H220">
        <v>76804</v>
      </c>
      <c r="I220">
        <v>50</v>
      </c>
      <c r="J220">
        <v>0.26</v>
      </c>
      <c r="K220">
        <v>1.46</v>
      </c>
      <c r="L220">
        <v>7.5</v>
      </c>
      <c r="M220">
        <v>7.59</v>
      </c>
      <c r="N220">
        <v>7.37</v>
      </c>
      <c r="O220">
        <v>7.56</v>
      </c>
      <c r="P220">
        <v>19.100000000000001</v>
      </c>
      <c r="Q220">
        <v>57743464</v>
      </c>
      <c r="R220">
        <v>0.94</v>
      </c>
      <c r="S220" t="s">
        <v>135</v>
      </c>
      <c r="T220" t="s">
        <v>37</v>
      </c>
      <c r="U220">
        <v>2.91</v>
      </c>
      <c r="V220">
        <v>7.52</v>
      </c>
      <c r="W220">
        <v>38753</v>
      </c>
      <c r="X220">
        <v>38051</v>
      </c>
      <c r="Y220">
        <v>1.02</v>
      </c>
      <c r="Z220">
        <v>271</v>
      </c>
      <c r="AA220">
        <v>245</v>
      </c>
      <c r="AB220" t="s">
        <v>31</v>
      </c>
    </row>
    <row r="221" spans="1:28">
      <c r="A221" t="str">
        <f>"600261"</f>
        <v>600261</v>
      </c>
      <c r="B221" t="s">
        <v>357</v>
      </c>
      <c r="C221">
        <v>-1.1299999999999999</v>
      </c>
      <c r="D221">
        <v>13.07</v>
      </c>
      <c r="E221">
        <v>-0.15</v>
      </c>
      <c r="F221">
        <v>13.07</v>
      </c>
      <c r="G221">
        <v>13.08</v>
      </c>
      <c r="H221">
        <v>91120</v>
      </c>
      <c r="I221">
        <v>11</v>
      </c>
      <c r="J221">
        <v>0.15</v>
      </c>
      <c r="K221">
        <v>1.73</v>
      </c>
      <c r="L221">
        <v>13.2</v>
      </c>
      <c r="M221">
        <v>13.28</v>
      </c>
      <c r="N221">
        <v>12.68</v>
      </c>
      <c r="O221">
        <v>13.22</v>
      </c>
      <c r="P221">
        <v>35.01</v>
      </c>
      <c r="Q221">
        <v>117780408</v>
      </c>
      <c r="R221">
        <v>0.92</v>
      </c>
      <c r="S221" t="s">
        <v>113</v>
      </c>
      <c r="T221" t="s">
        <v>95</v>
      </c>
      <c r="U221">
        <v>4.54</v>
      </c>
      <c r="V221">
        <v>12.93</v>
      </c>
      <c r="W221">
        <v>53451</v>
      </c>
      <c r="X221">
        <v>37669</v>
      </c>
      <c r="Y221">
        <v>1.42</v>
      </c>
      <c r="Z221">
        <v>107</v>
      </c>
      <c r="AA221">
        <v>78</v>
      </c>
      <c r="AB221" t="s">
        <v>31</v>
      </c>
    </row>
    <row r="222" spans="1:28">
      <c r="A222" t="str">
        <f>"600262"</f>
        <v>600262</v>
      </c>
      <c r="B222" t="s">
        <v>358</v>
      </c>
      <c r="C222">
        <v>0.15</v>
      </c>
      <c r="D222">
        <v>13.23</v>
      </c>
      <c r="E222">
        <v>0.02</v>
      </c>
      <c r="F222">
        <v>13.23</v>
      </c>
      <c r="G222">
        <v>13.24</v>
      </c>
      <c r="H222">
        <v>14014</v>
      </c>
      <c r="I222">
        <v>19</v>
      </c>
      <c r="J222">
        <v>7.0000000000000007E-2</v>
      </c>
      <c r="K222">
        <v>2.12</v>
      </c>
      <c r="L222">
        <v>13.05</v>
      </c>
      <c r="M222">
        <v>13.29</v>
      </c>
      <c r="N222">
        <v>12.86</v>
      </c>
      <c r="O222">
        <v>13.21</v>
      </c>
      <c r="P222">
        <v>15.14</v>
      </c>
      <c r="Q222">
        <v>18269974</v>
      </c>
      <c r="R222">
        <v>1.24</v>
      </c>
      <c r="S222" t="s">
        <v>75</v>
      </c>
      <c r="T222" t="s">
        <v>47</v>
      </c>
      <c r="U222">
        <v>3.26</v>
      </c>
      <c r="V222">
        <v>13.04</v>
      </c>
      <c r="W222">
        <v>7883</v>
      </c>
      <c r="X222">
        <v>6131</v>
      </c>
      <c r="Y222">
        <v>1.29</v>
      </c>
      <c r="Z222">
        <v>11</v>
      </c>
      <c r="AA222">
        <v>104</v>
      </c>
      <c r="AB222" t="s">
        <v>31</v>
      </c>
    </row>
    <row r="223" spans="1:28">
      <c r="A223" t="str">
        <f>"600265"</f>
        <v>600265</v>
      </c>
      <c r="B223" t="s">
        <v>359</v>
      </c>
      <c r="C223">
        <v>1.48</v>
      </c>
      <c r="D223">
        <v>8.25</v>
      </c>
      <c r="E223">
        <v>0.12</v>
      </c>
      <c r="F223">
        <v>8.2200000000000006</v>
      </c>
      <c r="G223">
        <v>8.27</v>
      </c>
      <c r="H223">
        <v>4714</v>
      </c>
      <c r="I223">
        <v>27</v>
      </c>
      <c r="J223">
        <v>0</v>
      </c>
      <c r="K223">
        <v>0.36</v>
      </c>
      <c r="L223">
        <v>8.07</v>
      </c>
      <c r="M223">
        <v>8.27</v>
      </c>
      <c r="N223">
        <v>8.07</v>
      </c>
      <c r="O223">
        <v>8.1300000000000008</v>
      </c>
      <c r="P223" t="s">
        <v>31</v>
      </c>
      <c r="Q223">
        <v>3868205</v>
      </c>
      <c r="R223">
        <v>0.7</v>
      </c>
      <c r="S223" t="s">
        <v>282</v>
      </c>
      <c r="T223" t="s">
        <v>170</v>
      </c>
      <c r="U223">
        <v>2.46</v>
      </c>
      <c r="V223">
        <v>8.2100000000000009</v>
      </c>
      <c r="W223">
        <v>1764</v>
      </c>
      <c r="X223">
        <v>2950</v>
      </c>
      <c r="Y223">
        <v>0.6</v>
      </c>
      <c r="Z223">
        <v>20</v>
      </c>
      <c r="AA223">
        <v>11</v>
      </c>
      <c r="AB223" t="s">
        <v>31</v>
      </c>
    </row>
    <row r="224" spans="1:28">
      <c r="A224" t="str">
        <f>"600266"</f>
        <v>600266</v>
      </c>
      <c r="B224" t="s">
        <v>360</v>
      </c>
      <c r="C224">
        <v>0.78</v>
      </c>
      <c r="D224">
        <v>10.28</v>
      </c>
      <c r="E224">
        <v>0.08</v>
      </c>
      <c r="F224">
        <v>10.28</v>
      </c>
      <c r="G224">
        <v>10.29</v>
      </c>
      <c r="H224">
        <v>35665</v>
      </c>
      <c r="I224">
        <v>4</v>
      </c>
      <c r="J224">
        <v>0</v>
      </c>
      <c r="K224">
        <v>0.4</v>
      </c>
      <c r="L224">
        <v>10.199999999999999</v>
      </c>
      <c r="M224">
        <v>10.3</v>
      </c>
      <c r="N224">
        <v>10.11</v>
      </c>
      <c r="O224">
        <v>10.199999999999999</v>
      </c>
      <c r="P224">
        <v>11.08</v>
      </c>
      <c r="Q224">
        <v>36534664</v>
      </c>
      <c r="R224">
        <v>0.51</v>
      </c>
      <c r="S224" t="s">
        <v>97</v>
      </c>
      <c r="T224" t="s">
        <v>42</v>
      </c>
      <c r="U224">
        <v>1.86</v>
      </c>
      <c r="V224">
        <v>10.24</v>
      </c>
      <c r="W224">
        <v>15233</v>
      </c>
      <c r="X224">
        <v>20432</v>
      </c>
      <c r="Y224">
        <v>0.75</v>
      </c>
      <c r="Z224">
        <v>7</v>
      </c>
      <c r="AA224">
        <v>126</v>
      </c>
      <c r="AB224" t="s">
        <v>31</v>
      </c>
    </row>
    <row r="225" spans="1:28">
      <c r="A225" t="str">
        <f>"600267"</f>
        <v>600267</v>
      </c>
      <c r="B225" t="s">
        <v>361</v>
      </c>
      <c r="C225">
        <v>3.77</v>
      </c>
      <c r="D225">
        <v>16.260000000000002</v>
      </c>
      <c r="E225">
        <v>0.59</v>
      </c>
      <c r="F225">
        <v>16.21</v>
      </c>
      <c r="G225">
        <v>16.22</v>
      </c>
      <c r="H225">
        <v>63553</v>
      </c>
      <c r="I225">
        <v>1</v>
      </c>
      <c r="J225">
        <v>0</v>
      </c>
      <c r="K225">
        <v>0.76</v>
      </c>
      <c r="L225">
        <v>15.74</v>
      </c>
      <c r="M225">
        <v>16.28</v>
      </c>
      <c r="N225">
        <v>15.7</v>
      </c>
      <c r="O225">
        <v>15.67</v>
      </c>
      <c r="P225">
        <v>47.66</v>
      </c>
      <c r="Q225">
        <v>101695424</v>
      </c>
      <c r="R225">
        <v>0.82</v>
      </c>
      <c r="S225" t="s">
        <v>117</v>
      </c>
      <c r="T225" t="s">
        <v>95</v>
      </c>
      <c r="U225">
        <v>3.7</v>
      </c>
      <c r="V225">
        <v>16</v>
      </c>
      <c r="W225">
        <v>34337</v>
      </c>
      <c r="X225">
        <v>29216</v>
      </c>
      <c r="Y225">
        <v>1.18</v>
      </c>
      <c r="Z225">
        <v>101</v>
      </c>
      <c r="AA225">
        <v>2</v>
      </c>
      <c r="AB225" t="s">
        <v>31</v>
      </c>
    </row>
    <row r="226" spans="1:28">
      <c r="A226" t="str">
        <f>"600268"</f>
        <v>600268</v>
      </c>
      <c r="B226" t="s">
        <v>362</v>
      </c>
      <c r="C226">
        <v>0.56999999999999995</v>
      </c>
      <c r="D226">
        <v>5.3</v>
      </c>
      <c r="E226">
        <v>0.03</v>
      </c>
      <c r="F226">
        <v>5.3</v>
      </c>
      <c r="G226">
        <v>5.31</v>
      </c>
      <c r="H226">
        <v>40732</v>
      </c>
      <c r="I226">
        <v>22</v>
      </c>
      <c r="J226">
        <v>0</v>
      </c>
      <c r="K226">
        <v>0.64</v>
      </c>
      <c r="L226">
        <v>5.25</v>
      </c>
      <c r="M226">
        <v>5.38</v>
      </c>
      <c r="N226">
        <v>5.12</v>
      </c>
      <c r="O226">
        <v>5.27</v>
      </c>
      <c r="P226" t="s">
        <v>31</v>
      </c>
      <c r="Q226">
        <v>21530014</v>
      </c>
      <c r="R226">
        <v>1.05</v>
      </c>
      <c r="S226" t="s">
        <v>161</v>
      </c>
      <c r="T226" t="s">
        <v>120</v>
      </c>
      <c r="U226">
        <v>4.93</v>
      </c>
      <c r="V226">
        <v>5.29</v>
      </c>
      <c r="W226">
        <v>23301</v>
      </c>
      <c r="X226">
        <v>17431</v>
      </c>
      <c r="Y226">
        <v>1.34</v>
      </c>
      <c r="Z226">
        <v>17</v>
      </c>
      <c r="AA226">
        <v>49</v>
      </c>
      <c r="AB226" t="s">
        <v>31</v>
      </c>
    </row>
    <row r="227" spans="1:28">
      <c r="A227" t="str">
        <f>"600269"</f>
        <v>600269</v>
      </c>
      <c r="B227" t="s">
        <v>363</v>
      </c>
      <c r="C227">
        <v>0.69</v>
      </c>
      <c r="D227">
        <v>2.93</v>
      </c>
      <c r="E227">
        <v>0.02</v>
      </c>
      <c r="F227">
        <v>2.93</v>
      </c>
      <c r="G227">
        <v>2.94</v>
      </c>
      <c r="H227">
        <v>67282</v>
      </c>
      <c r="I227">
        <v>74</v>
      </c>
      <c r="J227">
        <v>0</v>
      </c>
      <c r="K227">
        <v>0.28999999999999998</v>
      </c>
      <c r="L227">
        <v>2.92</v>
      </c>
      <c r="M227">
        <v>2.94</v>
      </c>
      <c r="N227">
        <v>2.9</v>
      </c>
      <c r="O227">
        <v>2.91</v>
      </c>
      <c r="P227">
        <v>8.14</v>
      </c>
      <c r="Q227">
        <v>19657728</v>
      </c>
      <c r="R227">
        <v>1.23</v>
      </c>
      <c r="S227" t="s">
        <v>51</v>
      </c>
      <c r="T227" t="s">
        <v>99</v>
      </c>
      <c r="U227">
        <v>1.37</v>
      </c>
      <c r="V227">
        <v>2.92</v>
      </c>
      <c r="W227">
        <v>36980</v>
      </c>
      <c r="X227">
        <v>30302</v>
      </c>
      <c r="Y227">
        <v>1.22</v>
      </c>
      <c r="Z227">
        <v>1230</v>
      </c>
      <c r="AA227">
        <v>4140</v>
      </c>
      <c r="AB227" t="s">
        <v>31</v>
      </c>
    </row>
    <row r="228" spans="1:28">
      <c r="A228" t="str">
        <f>"600270"</f>
        <v>600270</v>
      </c>
      <c r="B228" t="s">
        <v>364</v>
      </c>
      <c r="C228">
        <v>2.98</v>
      </c>
      <c r="D228">
        <v>11.42</v>
      </c>
      <c r="E228">
        <v>0.33</v>
      </c>
      <c r="F228">
        <v>11.45</v>
      </c>
      <c r="G228">
        <v>11.46</v>
      </c>
      <c r="H228">
        <v>288779</v>
      </c>
      <c r="I228">
        <v>2075</v>
      </c>
      <c r="J228">
        <v>0.79</v>
      </c>
      <c r="K228">
        <v>8.73</v>
      </c>
      <c r="L228">
        <v>10.95</v>
      </c>
      <c r="M228">
        <v>11.6</v>
      </c>
      <c r="N228">
        <v>10.9</v>
      </c>
      <c r="O228">
        <v>11.09</v>
      </c>
      <c r="P228">
        <v>17.510000000000002</v>
      </c>
      <c r="Q228">
        <v>326617952</v>
      </c>
      <c r="R228">
        <v>0.82</v>
      </c>
      <c r="S228" t="s">
        <v>107</v>
      </c>
      <c r="T228" t="s">
        <v>42</v>
      </c>
      <c r="U228">
        <v>6.31</v>
      </c>
      <c r="V228">
        <v>11.31</v>
      </c>
      <c r="W228">
        <v>143512</v>
      </c>
      <c r="X228">
        <v>145267</v>
      </c>
      <c r="Y228">
        <v>0.99</v>
      </c>
      <c r="Z228">
        <v>3761</v>
      </c>
      <c r="AA228">
        <v>234</v>
      </c>
      <c r="AB228" t="s">
        <v>31</v>
      </c>
    </row>
    <row r="229" spans="1:28">
      <c r="A229" t="str">
        <f>"600271"</f>
        <v>600271</v>
      </c>
      <c r="B229" t="s">
        <v>365</v>
      </c>
      <c r="C229">
        <v>3.14</v>
      </c>
      <c r="D229">
        <v>18.39</v>
      </c>
      <c r="E229">
        <v>0.56000000000000005</v>
      </c>
      <c r="F229">
        <v>18.39</v>
      </c>
      <c r="G229">
        <v>18.399999999999999</v>
      </c>
      <c r="H229">
        <v>90215</v>
      </c>
      <c r="I229">
        <v>50</v>
      </c>
      <c r="J229">
        <v>0</v>
      </c>
      <c r="K229">
        <v>0.98</v>
      </c>
      <c r="L229">
        <v>17.829999999999998</v>
      </c>
      <c r="M229">
        <v>18.440000000000001</v>
      </c>
      <c r="N229">
        <v>17.73</v>
      </c>
      <c r="O229">
        <v>17.829999999999998</v>
      </c>
      <c r="P229">
        <v>15.11</v>
      </c>
      <c r="Q229">
        <v>164018560</v>
      </c>
      <c r="R229">
        <v>0.57999999999999996</v>
      </c>
      <c r="S229" t="s">
        <v>177</v>
      </c>
      <c r="T229" t="s">
        <v>42</v>
      </c>
      <c r="U229">
        <v>3.98</v>
      </c>
      <c r="V229">
        <v>18.18</v>
      </c>
      <c r="W229">
        <v>41206</v>
      </c>
      <c r="X229">
        <v>49009</v>
      </c>
      <c r="Y229">
        <v>0.84</v>
      </c>
      <c r="Z229">
        <v>135</v>
      </c>
      <c r="AA229">
        <v>389</v>
      </c>
      <c r="AB229" t="s">
        <v>31</v>
      </c>
    </row>
    <row r="230" spans="1:28">
      <c r="A230" t="str">
        <f>"600272"</f>
        <v>600272</v>
      </c>
      <c r="B230" t="s">
        <v>366</v>
      </c>
      <c r="C230">
        <v>1.22</v>
      </c>
      <c r="D230">
        <v>9.1300000000000008</v>
      </c>
      <c r="E230">
        <v>0.11</v>
      </c>
      <c r="F230">
        <v>9.11</v>
      </c>
      <c r="G230">
        <v>9.1199999999999992</v>
      </c>
      <c r="H230">
        <v>18265</v>
      </c>
      <c r="I230">
        <v>5</v>
      </c>
      <c r="J230">
        <v>0</v>
      </c>
      <c r="K230">
        <v>1.1399999999999999</v>
      </c>
      <c r="L230">
        <v>9.0299999999999994</v>
      </c>
      <c r="M230">
        <v>9.1300000000000008</v>
      </c>
      <c r="N230">
        <v>8.93</v>
      </c>
      <c r="O230">
        <v>9.02</v>
      </c>
      <c r="P230">
        <v>118.59</v>
      </c>
      <c r="Q230">
        <v>16480898</v>
      </c>
      <c r="R230">
        <v>0.67</v>
      </c>
      <c r="S230" t="s">
        <v>158</v>
      </c>
      <c r="T230" t="s">
        <v>30</v>
      </c>
      <c r="U230">
        <v>2.2200000000000002</v>
      </c>
      <c r="V230">
        <v>9.02</v>
      </c>
      <c r="W230">
        <v>10198</v>
      </c>
      <c r="X230">
        <v>8067</v>
      </c>
      <c r="Y230">
        <v>1.26</v>
      </c>
      <c r="Z230">
        <v>262</v>
      </c>
      <c r="AA230">
        <v>1</v>
      </c>
      <c r="AB230" t="s">
        <v>31</v>
      </c>
    </row>
    <row r="231" spans="1:28">
      <c r="A231" t="str">
        <f>"600273"</f>
        <v>600273</v>
      </c>
      <c r="B231" t="s">
        <v>367</v>
      </c>
      <c r="C231">
        <v>0</v>
      </c>
      <c r="D231">
        <v>5.45</v>
      </c>
      <c r="E231">
        <v>0</v>
      </c>
      <c r="F231" t="s">
        <v>31</v>
      </c>
      <c r="G231" t="s">
        <v>31</v>
      </c>
      <c r="H231">
        <v>0</v>
      </c>
      <c r="I231">
        <v>0</v>
      </c>
      <c r="J231">
        <v>0</v>
      </c>
      <c r="K231">
        <v>0</v>
      </c>
      <c r="L231" t="s">
        <v>31</v>
      </c>
      <c r="M231" t="s">
        <v>31</v>
      </c>
      <c r="N231" t="s">
        <v>31</v>
      </c>
      <c r="O231">
        <v>5.45</v>
      </c>
      <c r="P231" t="s">
        <v>31</v>
      </c>
      <c r="Q231">
        <v>0</v>
      </c>
      <c r="R231">
        <v>0</v>
      </c>
      <c r="S231" t="s">
        <v>127</v>
      </c>
      <c r="T231" t="s">
        <v>120</v>
      </c>
      <c r="U231">
        <v>0</v>
      </c>
      <c r="V231">
        <v>5.45</v>
      </c>
      <c r="W231">
        <v>0</v>
      </c>
      <c r="X231">
        <v>0</v>
      </c>
      <c r="Y231" t="s">
        <v>31</v>
      </c>
      <c r="Z231">
        <v>0</v>
      </c>
      <c r="AA231">
        <v>0</v>
      </c>
      <c r="AB231" t="s">
        <v>31</v>
      </c>
    </row>
    <row r="232" spans="1:28">
      <c r="A232" t="str">
        <f>"600275"</f>
        <v>600275</v>
      </c>
      <c r="B232" t="s">
        <v>368</v>
      </c>
      <c r="C232">
        <v>1.08</v>
      </c>
      <c r="D232">
        <v>5.59</v>
      </c>
      <c r="E232">
        <v>0.06</v>
      </c>
      <c r="F232">
        <v>5.59</v>
      </c>
      <c r="G232">
        <v>5.6</v>
      </c>
      <c r="H232">
        <v>60453</v>
      </c>
      <c r="I232">
        <v>100</v>
      </c>
      <c r="J232">
        <v>-0.17</v>
      </c>
      <c r="K232">
        <v>1.19</v>
      </c>
      <c r="L232">
        <v>5.55</v>
      </c>
      <c r="M232">
        <v>5.63</v>
      </c>
      <c r="N232">
        <v>5.47</v>
      </c>
      <c r="O232">
        <v>5.53</v>
      </c>
      <c r="P232" t="s">
        <v>31</v>
      </c>
      <c r="Q232">
        <v>33464694</v>
      </c>
      <c r="R232">
        <v>0.64</v>
      </c>
      <c r="S232" t="s">
        <v>90</v>
      </c>
      <c r="T232" t="s">
        <v>37</v>
      </c>
      <c r="U232">
        <v>2.89</v>
      </c>
      <c r="V232">
        <v>5.54</v>
      </c>
      <c r="W232">
        <v>27636</v>
      </c>
      <c r="X232">
        <v>32817</v>
      </c>
      <c r="Y232">
        <v>0.84</v>
      </c>
      <c r="Z232">
        <v>61</v>
      </c>
      <c r="AA232">
        <v>255</v>
      </c>
      <c r="AB232" t="s">
        <v>31</v>
      </c>
    </row>
    <row r="233" spans="1:28">
      <c r="A233" t="str">
        <f>"600276"</f>
        <v>600276</v>
      </c>
      <c r="B233" t="s">
        <v>369</v>
      </c>
      <c r="C233">
        <v>-0.06</v>
      </c>
      <c r="D233">
        <v>31.73</v>
      </c>
      <c r="E233">
        <v>-0.02</v>
      </c>
      <c r="F233">
        <v>31.74</v>
      </c>
      <c r="G233">
        <v>31.75</v>
      </c>
      <c r="H233">
        <v>45082</v>
      </c>
      <c r="I233">
        <v>47</v>
      </c>
      <c r="J233">
        <v>0.41</v>
      </c>
      <c r="K233">
        <v>0.33</v>
      </c>
      <c r="L233">
        <v>31.65</v>
      </c>
      <c r="M233">
        <v>32.28</v>
      </c>
      <c r="N233">
        <v>31.29</v>
      </c>
      <c r="O233">
        <v>31.75</v>
      </c>
      <c r="P233">
        <v>34.97</v>
      </c>
      <c r="Q233">
        <v>142963920</v>
      </c>
      <c r="R233">
        <v>0.85</v>
      </c>
      <c r="S233" t="s">
        <v>117</v>
      </c>
      <c r="T233" t="s">
        <v>120</v>
      </c>
      <c r="U233">
        <v>3.12</v>
      </c>
      <c r="V233">
        <v>31.71</v>
      </c>
      <c r="W233">
        <v>26933</v>
      </c>
      <c r="X233">
        <v>18149</v>
      </c>
      <c r="Y233">
        <v>1.48</v>
      </c>
      <c r="Z233">
        <v>175</v>
      </c>
      <c r="AA233">
        <v>481</v>
      </c>
      <c r="AB233" t="s">
        <v>31</v>
      </c>
    </row>
    <row r="234" spans="1:28">
      <c r="A234" t="str">
        <f>"600277"</f>
        <v>600277</v>
      </c>
      <c r="B234" t="s">
        <v>370</v>
      </c>
      <c r="C234">
        <v>0.93</v>
      </c>
      <c r="D234">
        <v>7.6</v>
      </c>
      <c r="E234">
        <v>7.0000000000000007E-2</v>
      </c>
      <c r="F234">
        <v>7.61</v>
      </c>
      <c r="G234">
        <v>7.62</v>
      </c>
      <c r="H234">
        <v>79795</v>
      </c>
      <c r="I234">
        <v>51</v>
      </c>
      <c r="J234">
        <v>0.13</v>
      </c>
      <c r="K234">
        <v>0.52</v>
      </c>
      <c r="L234">
        <v>7.5</v>
      </c>
      <c r="M234">
        <v>7.69</v>
      </c>
      <c r="N234">
        <v>7.42</v>
      </c>
      <c r="O234">
        <v>7.53</v>
      </c>
      <c r="P234">
        <v>68.78</v>
      </c>
      <c r="Q234">
        <v>60423256</v>
      </c>
      <c r="R234">
        <v>0.54</v>
      </c>
      <c r="S234" t="s">
        <v>137</v>
      </c>
      <c r="T234" t="s">
        <v>47</v>
      </c>
      <c r="U234">
        <v>3.59</v>
      </c>
      <c r="V234">
        <v>7.57</v>
      </c>
      <c r="W234">
        <v>40438</v>
      </c>
      <c r="X234">
        <v>39357</v>
      </c>
      <c r="Y234">
        <v>1.03</v>
      </c>
      <c r="Z234">
        <v>39</v>
      </c>
      <c r="AA234">
        <v>104</v>
      </c>
      <c r="AB234" t="s">
        <v>31</v>
      </c>
    </row>
    <row r="235" spans="1:28">
      <c r="A235" t="str">
        <f>"600278"</f>
        <v>600278</v>
      </c>
      <c r="B235" t="s">
        <v>371</v>
      </c>
      <c r="C235">
        <v>5.97</v>
      </c>
      <c r="D235">
        <v>11.18</v>
      </c>
      <c r="E235">
        <v>0.63</v>
      </c>
      <c r="F235">
        <v>11.16</v>
      </c>
      <c r="G235">
        <v>11.18</v>
      </c>
      <c r="H235">
        <v>151248</v>
      </c>
      <c r="I235">
        <v>7</v>
      </c>
      <c r="J235">
        <v>-0.08</v>
      </c>
      <c r="K235">
        <v>3.64</v>
      </c>
      <c r="L235">
        <v>10.42</v>
      </c>
      <c r="M235">
        <v>11.48</v>
      </c>
      <c r="N235">
        <v>10.3</v>
      </c>
      <c r="O235">
        <v>10.55</v>
      </c>
      <c r="P235">
        <v>49.45</v>
      </c>
      <c r="Q235">
        <v>166607936</v>
      </c>
      <c r="R235">
        <v>1.1599999999999999</v>
      </c>
      <c r="S235" t="s">
        <v>109</v>
      </c>
      <c r="T235" t="s">
        <v>30</v>
      </c>
      <c r="U235">
        <v>11.18</v>
      </c>
      <c r="V235">
        <v>11.02</v>
      </c>
      <c r="W235">
        <v>75004</v>
      </c>
      <c r="X235">
        <v>76244</v>
      </c>
      <c r="Y235">
        <v>0.98</v>
      </c>
      <c r="Z235">
        <v>6</v>
      </c>
      <c r="AA235">
        <v>124</v>
      </c>
      <c r="AB235" t="s">
        <v>31</v>
      </c>
    </row>
    <row r="236" spans="1:28">
      <c r="A236" t="str">
        <f>"600279"</f>
        <v>600279</v>
      </c>
      <c r="B236" t="s">
        <v>372</v>
      </c>
      <c r="C236">
        <v>3.57</v>
      </c>
      <c r="D236">
        <v>7.54</v>
      </c>
      <c r="E236">
        <v>0.26</v>
      </c>
      <c r="F236">
        <v>7.54</v>
      </c>
      <c r="G236">
        <v>7.55</v>
      </c>
      <c r="H236">
        <v>30533</v>
      </c>
      <c r="I236">
        <v>9</v>
      </c>
      <c r="J236">
        <v>0</v>
      </c>
      <c r="K236">
        <v>2.0299999999999998</v>
      </c>
      <c r="L236">
        <v>7.28</v>
      </c>
      <c r="M236">
        <v>7.59</v>
      </c>
      <c r="N236">
        <v>7.12</v>
      </c>
      <c r="O236">
        <v>7.28</v>
      </c>
      <c r="P236">
        <v>28.78</v>
      </c>
      <c r="Q236">
        <v>22641976</v>
      </c>
      <c r="R236">
        <v>0.67</v>
      </c>
      <c r="S236" t="s">
        <v>56</v>
      </c>
      <c r="T236" t="s">
        <v>184</v>
      </c>
      <c r="U236">
        <v>6.46</v>
      </c>
      <c r="V236">
        <v>7.42</v>
      </c>
      <c r="W236">
        <v>12497</v>
      </c>
      <c r="X236">
        <v>18036</v>
      </c>
      <c r="Y236">
        <v>0.69</v>
      </c>
      <c r="Z236">
        <v>168</v>
      </c>
      <c r="AA236">
        <v>578</v>
      </c>
      <c r="AB236" t="s">
        <v>31</v>
      </c>
    </row>
    <row r="237" spans="1:28">
      <c r="A237" t="str">
        <f>"600280"</f>
        <v>600280</v>
      </c>
      <c r="B237" t="s">
        <v>373</v>
      </c>
      <c r="C237">
        <v>2.0299999999999998</v>
      </c>
      <c r="D237">
        <v>14.58</v>
      </c>
      <c r="E237">
        <v>0.28999999999999998</v>
      </c>
      <c r="F237">
        <v>14.58</v>
      </c>
      <c r="G237">
        <v>14.6</v>
      </c>
      <c r="H237">
        <v>47612</v>
      </c>
      <c r="I237">
        <v>5</v>
      </c>
      <c r="J237">
        <v>0</v>
      </c>
      <c r="K237">
        <v>0.83</v>
      </c>
      <c r="L237">
        <v>14.44</v>
      </c>
      <c r="M237">
        <v>14.8</v>
      </c>
      <c r="N237">
        <v>14.36</v>
      </c>
      <c r="O237">
        <v>14.29</v>
      </c>
      <c r="P237">
        <v>14.99</v>
      </c>
      <c r="Q237">
        <v>69246216</v>
      </c>
      <c r="R237">
        <v>0.61</v>
      </c>
      <c r="S237" t="s">
        <v>374</v>
      </c>
      <c r="T237" t="s">
        <v>120</v>
      </c>
      <c r="U237">
        <v>3.08</v>
      </c>
      <c r="V237">
        <v>14.54</v>
      </c>
      <c r="W237">
        <v>22596</v>
      </c>
      <c r="X237">
        <v>25016</v>
      </c>
      <c r="Y237">
        <v>0.9</v>
      </c>
      <c r="Z237">
        <v>110</v>
      </c>
      <c r="AA237">
        <v>244</v>
      </c>
      <c r="AB237" t="s">
        <v>31</v>
      </c>
    </row>
    <row r="238" spans="1:28">
      <c r="A238" t="str">
        <f>"600281"</f>
        <v>600281</v>
      </c>
      <c r="B238" t="s">
        <v>375</v>
      </c>
      <c r="C238">
        <v>1.9</v>
      </c>
      <c r="D238">
        <v>4.3</v>
      </c>
      <c r="E238">
        <v>0.08</v>
      </c>
      <c r="F238">
        <v>4.29</v>
      </c>
      <c r="G238">
        <v>4.3</v>
      </c>
      <c r="H238">
        <v>16088</v>
      </c>
      <c r="I238">
        <v>23</v>
      </c>
      <c r="J238">
        <v>0</v>
      </c>
      <c r="K238">
        <v>0.31</v>
      </c>
      <c r="L238">
        <v>4.24</v>
      </c>
      <c r="M238">
        <v>4.33</v>
      </c>
      <c r="N238">
        <v>4.2</v>
      </c>
      <c r="O238">
        <v>4.22</v>
      </c>
      <c r="P238" t="s">
        <v>31</v>
      </c>
      <c r="Q238">
        <v>6879338</v>
      </c>
      <c r="R238">
        <v>0.46</v>
      </c>
      <c r="S238" t="s">
        <v>137</v>
      </c>
      <c r="T238" t="s">
        <v>212</v>
      </c>
      <c r="U238">
        <v>3.08</v>
      </c>
      <c r="V238">
        <v>4.28</v>
      </c>
      <c r="W238">
        <v>5086</v>
      </c>
      <c r="X238">
        <v>11002</v>
      </c>
      <c r="Y238">
        <v>0.46</v>
      </c>
      <c r="Z238">
        <v>86</v>
      </c>
      <c r="AA238">
        <v>6</v>
      </c>
      <c r="AB238" t="s">
        <v>31</v>
      </c>
    </row>
    <row r="239" spans="1:28">
      <c r="A239" t="str">
        <f>"600282"</f>
        <v>600282</v>
      </c>
      <c r="B239" t="s">
        <v>376</v>
      </c>
      <c r="C239">
        <v>0.52</v>
      </c>
      <c r="D239">
        <v>1.92</v>
      </c>
      <c r="E239">
        <v>0.01</v>
      </c>
      <c r="F239">
        <v>1.92</v>
      </c>
      <c r="G239">
        <v>1.93</v>
      </c>
      <c r="H239">
        <v>22425</v>
      </c>
      <c r="I239">
        <v>311</v>
      </c>
      <c r="J239">
        <v>0</v>
      </c>
      <c r="K239">
        <v>0.06</v>
      </c>
      <c r="L239">
        <v>1.88</v>
      </c>
      <c r="M239">
        <v>1.93</v>
      </c>
      <c r="N239">
        <v>1.88</v>
      </c>
      <c r="O239">
        <v>1.91</v>
      </c>
      <c r="P239" t="s">
        <v>31</v>
      </c>
      <c r="Q239">
        <v>4271672</v>
      </c>
      <c r="R239">
        <v>0.98</v>
      </c>
      <c r="S239" t="s">
        <v>36</v>
      </c>
      <c r="T239" t="s">
        <v>120</v>
      </c>
      <c r="U239">
        <v>2.62</v>
      </c>
      <c r="V239">
        <v>1.9</v>
      </c>
      <c r="W239">
        <v>12279</v>
      </c>
      <c r="X239">
        <v>10146</v>
      </c>
      <c r="Y239">
        <v>1.21</v>
      </c>
      <c r="Z239">
        <v>563</v>
      </c>
      <c r="AA239">
        <v>2760</v>
      </c>
      <c r="AB239" t="s">
        <v>31</v>
      </c>
    </row>
    <row r="240" spans="1:28">
      <c r="A240" t="str">
        <f>"600283"</f>
        <v>600283</v>
      </c>
      <c r="B240" t="s">
        <v>377</v>
      </c>
      <c r="C240">
        <v>1.19</v>
      </c>
      <c r="D240">
        <v>7.63</v>
      </c>
      <c r="E240">
        <v>0.09</v>
      </c>
      <c r="F240">
        <v>7.63</v>
      </c>
      <c r="G240">
        <v>7.64</v>
      </c>
      <c r="H240">
        <v>20946</v>
      </c>
      <c r="I240">
        <v>1</v>
      </c>
      <c r="J240">
        <v>-0.13</v>
      </c>
      <c r="K240">
        <v>0.73</v>
      </c>
      <c r="L240">
        <v>7.52</v>
      </c>
      <c r="M240">
        <v>7.66</v>
      </c>
      <c r="N240">
        <v>7.45</v>
      </c>
      <c r="O240">
        <v>7.54</v>
      </c>
      <c r="P240">
        <v>233.72</v>
      </c>
      <c r="Q240">
        <v>15886075</v>
      </c>
      <c r="R240">
        <v>0.46</v>
      </c>
      <c r="S240" t="s">
        <v>259</v>
      </c>
      <c r="T240" t="s">
        <v>95</v>
      </c>
      <c r="U240">
        <v>2.79</v>
      </c>
      <c r="V240">
        <v>7.58</v>
      </c>
      <c r="W240">
        <v>9471</v>
      </c>
      <c r="X240">
        <v>11475</v>
      </c>
      <c r="Y240">
        <v>0.83</v>
      </c>
      <c r="Z240">
        <v>30</v>
      </c>
      <c r="AA240">
        <v>125</v>
      </c>
      <c r="AB240" t="s">
        <v>31</v>
      </c>
    </row>
    <row r="241" spans="1:28">
      <c r="A241" t="str">
        <f>"600284"</f>
        <v>600284</v>
      </c>
      <c r="B241" t="s">
        <v>378</v>
      </c>
      <c r="C241">
        <v>0.65</v>
      </c>
      <c r="D241">
        <v>10.91</v>
      </c>
      <c r="E241">
        <v>7.0000000000000007E-2</v>
      </c>
      <c r="F241">
        <v>10.9</v>
      </c>
      <c r="G241">
        <v>10.91</v>
      </c>
      <c r="H241">
        <v>54006</v>
      </c>
      <c r="I241">
        <v>31</v>
      </c>
      <c r="J241">
        <v>0</v>
      </c>
      <c r="K241">
        <v>1.08</v>
      </c>
      <c r="L241">
        <v>10.83</v>
      </c>
      <c r="M241">
        <v>11.02</v>
      </c>
      <c r="N241">
        <v>10.62</v>
      </c>
      <c r="O241">
        <v>10.84</v>
      </c>
      <c r="P241">
        <v>35.380000000000003</v>
      </c>
      <c r="Q241">
        <v>58372800</v>
      </c>
      <c r="R241">
        <v>0.68</v>
      </c>
      <c r="S241" t="s">
        <v>87</v>
      </c>
      <c r="T241" t="s">
        <v>30</v>
      </c>
      <c r="U241">
        <v>3.69</v>
      </c>
      <c r="V241">
        <v>10.81</v>
      </c>
      <c r="W241">
        <v>28546</v>
      </c>
      <c r="X241">
        <v>25460</v>
      </c>
      <c r="Y241">
        <v>1.1200000000000001</v>
      </c>
      <c r="Z241">
        <v>119</v>
      </c>
      <c r="AA241">
        <v>105</v>
      </c>
      <c r="AB241" t="s">
        <v>31</v>
      </c>
    </row>
    <row r="242" spans="1:28">
      <c r="A242" t="str">
        <f>"600285"</f>
        <v>600285</v>
      </c>
      <c r="B242" t="s">
        <v>379</v>
      </c>
      <c r="C242">
        <v>1.05</v>
      </c>
      <c r="D242">
        <v>10.54</v>
      </c>
      <c r="E242">
        <v>0.11</v>
      </c>
      <c r="F242">
        <v>10.54</v>
      </c>
      <c r="G242">
        <v>10.55</v>
      </c>
      <c r="H242">
        <v>107449</v>
      </c>
      <c r="I242">
        <v>5</v>
      </c>
      <c r="J242">
        <v>0.38</v>
      </c>
      <c r="K242">
        <v>3.57</v>
      </c>
      <c r="L242">
        <v>10.63</v>
      </c>
      <c r="M242">
        <v>10.71</v>
      </c>
      <c r="N242">
        <v>10.35</v>
      </c>
      <c r="O242">
        <v>10.43</v>
      </c>
      <c r="P242">
        <v>23.71</v>
      </c>
      <c r="Q242">
        <v>113284592</v>
      </c>
      <c r="R242">
        <v>0.71</v>
      </c>
      <c r="S242" t="s">
        <v>156</v>
      </c>
      <c r="T242" t="s">
        <v>61</v>
      </c>
      <c r="U242">
        <v>3.45</v>
      </c>
      <c r="V242">
        <v>10.54</v>
      </c>
      <c r="W242">
        <v>58441</v>
      </c>
      <c r="X242">
        <v>49008</v>
      </c>
      <c r="Y242">
        <v>1.19</v>
      </c>
      <c r="Z242">
        <v>38</v>
      </c>
      <c r="AA242">
        <v>61</v>
      </c>
      <c r="AB242" t="s">
        <v>31</v>
      </c>
    </row>
    <row r="243" spans="1:28">
      <c r="A243" t="str">
        <f>"600287"</f>
        <v>600287</v>
      </c>
      <c r="B243" t="s">
        <v>380</v>
      </c>
      <c r="C243">
        <v>2</v>
      </c>
      <c r="D243">
        <v>7.13</v>
      </c>
      <c r="E243">
        <v>0.14000000000000001</v>
      </c>
      <c r="F243">
        <v>7.13</v>
      </c>
      <c r="G243">
        <v>7.14</v>
      </c>
      <c r="H243">
        <v>27801</v>
      </c>
      <c r="I243">
        <v>200</v>
      </c>
      <c r="J243">
        <v>0</v>
      </c>
      <c r="K243">
        <v>0.64</v>
      </c>
      <c r="L243">
        <v>6.96</v>
      </c>
      <c r="M243">
        <v>7.15</v>
      </c>
      <c r="N243">
        <v>6.92</v>
      </c>
      <c r="O243">
        <v>6.99</v>
      </c>
      <c r="P243">
        <v>4.6399999999999997</v>
      </c>
      <c r="Q243">
        <v>19548244</v>
      </c>
      <c r="R243">
        <v>0.83</v>
      </c>
      <c r="S243" t="s">
        <v>109</v>
      </c>
      <c r="T243" t="s">
        <v>120</v>
      </c>
      <c r="U243">
        <v>3.29</v>
      </c>
      <c r="V243">
        <v>7.03</v>
      </c>
      <c r="W243">
        <v>13194</v>
      </c>
      <c r="X243">
        <v>14607</v>
      </c>
      <c r="Y243">
        <v>0.9</v>
      </c>
      <c r="Z243">
        <v>54</v>
      </c>
      <c r="AA243">
        <v>18</v>
      </c>
      <c r="AB243" t="s">
        <v>31</v>
      </c>
    </row>
    <row r="244" spans="1:28">
      <c r="A244" t="str">
        <f>"600288"</f>
        <v>600288</v>
      </c>
      <c r="B244" t="s">
        <v>381</v>
      </c>
      <c r="C244">
        <v>2.36</v>
      </c>
      <c r="D244">
        <v>7.37</v>
      </c>
      <c r="E244">
        <v>0.17</v>
      </c>
      <c r="F244">
        <v>7.37</v>
      </c>
      <c r="G244">
        <v>7.38</v>
      </c>
      <c r="H244">
        <v>40413</v>
      </c>
      <c r="I244">
        <v>10</v>
      </c>
      <c r="J244">
        <v>0.27</v>
      </c>
      <c r="K244">
        <v>0.93</v>
      </c>
      <c r="L244">
        <v>7.19</v>
      </c>
      <c r="M244">
        <v>7.37</v>
      </c>
      <c r="N244">
        <v>7.18</v>
      </c>
      <c r="O244">
        <v>7.2</v>
      </c>
      <c r="P244" t="s">
        <v>31</v>
      </c>
      <c r="Q244">
        <v>29450232</v>
      </c>
      <c r="R244">
        <v>0.64</v>
      </c>
      <c r="S244" t="s">
        <v>140</v>
      </c>
      <c r="T244" t="s">
        <v>42</v>
      </c>
      <c r="U244">
        <v>2.64</v>
      </c>
      <c r="V244">
        <v>7.29</v>
      </c>
      <c r="W244">
        <v>19636</v>
      </c>
      <c r="X244">
        <v>20777</v>
      </c>
      <c r="Y244">
        <v>0.95</v>
      </c>
      <c r="Z244">
        <v>49</v>
      </c>
      <c r="AA244">
        <v>861</v>
      </c>
      <c r="AB244" t="s">
        <v>31</v>
      </c>
    </row>
    <row r="245" spans="1:28">
      <c r="A245" t="str">
        <f>"600289"</f>
        <v>600289</v>
      </c>
      <c r="B245" t="s">
        <v>382</v>
      </c>
      <c r="C245">
        <v>2.38</v>
      </c>
      <c r="D245">
        <v>9.0500000000000007</v>
      </c>
      <c r="E245">
        <v>0.21</v>
      </c>
      <c r="F245">
        <v>9.0500000000000007</v>
      </c>
      <c r="G245">
        <v>9.06</v>
      </c>
      <c r="H245">
        <v>270368</v>
      </c>
      <c r="I245">
        <v>18</v>
      </c>
      <c r="J245">
        <v>-0.33</v>
      </c>
      <c r="K245">
        <v>4.7699999999999996</v>
      </c>
      <c r="L245">
        <v>8.8000000000000007</v>
      </c>
      <c r="M245">
        <v>9.15</v>
      </c>
      <c r="N245">
        <v>8.65</v>
      </c>
      <c r="O245">
        <v>8.84</v>
      </c>
      <c r="P245" t="s">
        <v>31</v>
      </c>
      <c r="Q245">
        <v>240926064</v>
      </c>
      <c r="R245">
        <v>0.69</v>
      </c>
      <c r="S245" t="s">
        <v>383</v>
      </c>
      <c r="T245" t="s">
        <v>85</v>
      </c>
      <c r="U245">
        <v>5.66</v>
      </c>
      <c r="V245">
        <v>8.91</v>
      </c>
      <c r="W245">
        <v>130857</v>
      </c>
      <c r="X245">
        <v>139511</v>
      </c>
      <c r="Y245">
        <v>0.94</v>
      </c>
      <c r="Z245">
        <v>138</v>
      </c>
      <c r="AA245">
        <v>598</v>
      </c>
      <c r="AB245" t="s">
        <v>31</v>
      </c>
    </row>
    <row r="246" spans="1:28">
      <c r="A246" t="str">
        <f>"600290"</f>
        <v>600290</v>
      </c>
      <c r="B246" t="s">
        <v>384</v>
      </c>
      <c r="C246">
        <v>-0.47</v>
      </c>
      <c r="D246">
        <v>6.31</v>
      </c>
      <c r="E246">
        <v>-0.03</v>
      </c>
      <c r="F246">
        <v>6.31</v>
      </c>
      <c r="G246">
        <v>6.32</v>
      </c>
      <c r="H246">
        <v>58236</v>
      </c>
      <c r="I246">
        <v>9</v>
      </c>
      <c r="J246">
        <v>0.15</v>
      </c>
      <c r="K246">
        <v>1.1299999999999999</v>
      </c>
      <c r="L246">
        <v>6.37</v>
      </c>
      <c r="M246">
        <v>6.49</v>
      </c>
      <c r="N246">
        <v>6.2</v>
      </c>
      <c r="O246">
        <v>6.34</v>
      </c>
      <c r="P246">
        <v>360.93</v>
      </c>
      <c r="Q246">
        <v>36856392</v>
      </c>
      <c r="R246">
        <v>0.9</v>
      </c>
      <c r="S246" t="s">
        <v>161</v>
      </c>
      <c r="T246" t="s">
        <v>120</v>
      </c>
      <c r="U246">
        <v>4.57</v>
      </c>
      <c r="V246">
        <v>6.33</v>
      </c>
      <c r="W246">
        <v>32130</v>
      </c>
      <c r="X246">
        <v>26106</v>
      </c>
      <c r="Y246">
        <v>1.23</v>
      </c>
      <c r="Z246">
        <v>78</v>
      </c>
      <c r="AA246">
        <v>543</v>
      </c>
      <c r="AB246" t="s">
        <v>31</v>
      </c>
    </row>
    <row r="247" spans="1:28">
      <c r="A247" t="str">
        <f>"600291"</f>
        <v>600291</v>
      </c>
      <c r="B247" t="s">
        <v>385</v>
      </c>
      <c r="C247">
        <v>1.1000000000000001</v>
      </c>
      <c r="D247">
        <v>8.25</v>
      </c>
      <c r="E247">
        <v>0.09</v>
      </c>
      <c r="F247">
        <v>8.25</v>
      </c>
      <c r="G247">
        <v>8.26</v>
      </c>
      <c r="H247">
        <v>23504</v>
      </c>
      <c r="I247">
        <v>11</v>
      </c>
      <c r="J247">
        <v>0</v>
      </c>
      <c r="K247">
        <v>0.61</v>
      </c>
      <c r="L247">
        <v>8.1</v>
      </c>
      <c r="M247">
        <v>8.2799999999999994</v>
      </c>
      <c r="N247">
        <v>8</v>
      </c>
      <c r="O247">
        <v>8.16</v>
      </c>
      <c r="P247">
        <v>63.82</v>
      </c>
      <c r="Q247">
        <v>19245982</v>
      </c>
      <c r="R247">
        <v>0.74</v>
      </c>
      <c r="S247" t="s">
        <v>312</v>
      </c>
      <c r="T247" t="s">
        <v>47</v>
      </c>
      <c r="U247">
        <v>3.43</v>
      </c>
      <c r="V247">
        <v>8.19</v>
      </c>
      <c r="W247">
        <v>11141</v>
      </c>
      <c r="X247">
        <v>12363</v>
      </c>
      <c r="Y247">
        <v>0.9</v>
      </c>
      <c r="Z247">
        <v>105</v>
      </c>
      <c r="AA247">
        <v>114</v>
      </c>
      <c r="AB247" t="s">
        <v>31</v>
      </c>
    </row>
    <row r="248" spans="1:28">
      <c r="A248" t="str">
        <f>"600292"</f>
        <v>600292</v>
      </c>
      <c r="B248" t="s">
        <v>386</v>
      </c>
      <c r="C248">
        <v>3.12</v>
      </c>
      <c r="D248">
        <v>26.73</v>
      </c>
      <c r="E248">
        <v>0.81</v>
      </c>
      <c r="F248">
        <v>26.73</v>
      </c>
      <c r="G248">
        <v>26.75</v>
      </c>
      <c r="H248">
        <v>70690</v>
      </c>
      <c r="I248">
        <v>27</v>
      </c>
      <c r="J248">
        <v>0.71</v>
      </c>
      <c r="K248">
        <v>3.05</v>
      </c>
      <c r="L248">
        <v>25.9</v>
      </c>
      <c r="M248">
        <v>27.27</v>
      </c>
      <c r="N248">
        <v>25.9</v>
      </c>
      <c r="O248">
        <v>25.92</v>
      </c>
      <c r="P248">
        <v>89.72</v>
      </c>
      <c r="Q248">
        <v>188362320</v>
      </c>
      <c r="R248">
        <v>0.6</v>
      </c>
      <c r="S248" t="s">
        <v>44</v>
      </c>
      <c r="T248" t="s">
        <v>184</v>
      </c>
      <c r="U248">
        <v>5.29</v>
      </c>
      <c r="V248">
        <v>26.65</v>
      </c>
      <c r="W248">
        <v>32517</v>
      </c>
      <c r="X248">
        <v>38173</v>
      </c>
      <c r="Y248">
        <v>0.85</v>
      </c>
      <c r="Z248">
        <v>12</v>
      </c>
      <c r="AA248">
        <v>10</v>
      </c>
      <c r="AB248" t="s">
        <v>31</v>
      </c>
    </row>
    <row r="249" spans="1:28">
      <c r="A249" t="str">
        <f>"600293"</f>
        <v>600293</v>
      </c>
      <c r="B249" t="s">
        <v>387</v>
      </c>
      <c r="C249">
        <v>0.74</v>
      </c>
      <c r="D249">
        <v>5.42</v>
      </c>
      <c r="E249">
        <v>0.04</v>
      </c>
      <c r="F249">
        <v>5.42</v>
      </c>
      <c r="G249">
        <v>5.43</v>
      </c>
      <c r="H249">
        <v>29166</v>
      </c>
      <c r="I249">
        <v>5</v>
      </c>
      <c r="J249">
        <v>-0.18</v>
      </c>
      <c r="K249">
        <v>0.85</v>
      </c>
      <c r="L249">
        <v>5.35</v>
      </c>
      <c r="M249">
        <v>5.46</v>
      </c>
      <c r="N249">
        <v>5.33</v>
      </c>
      <c r="O249">
        <v>5.38</v>
      </c>
      <c r="P249">
        <v>155.69999999999999</v>
      </c>
      <c r="Q249">
        <v>15758454</v>
      </c>
      <c r="R249">
        <v>0.56000000000000005</v>
      </c>
      <c r="S249" t="s">
        <v>268</v>
      </c>
      <c r="T249" t="s">
        <v>37</v>
      </c>
      <c r="U249">
        <v>2.42</v>
      </c>
      <c r="V249">
        <v>5.4</v>
      </c>
      <c r="W249">
        <v>16273</v>
      </c>
      <c r="X249">
        <v>12893</v>
      </c>
      <c r="Y249">
        <v>1.26</v>
      </c>
      <c r="Z249">
        <v>7</v>
      </c>
      <c r="AA249">
        <v>774</v>
      </c>
      <c r="AB249" t="s">
        <v>31</v>
      </c>
    </row>
    <row r="250" spans="1:28">
      <c r="A250" t="str">
        <f>"600295"</f>
        <v>600295</v>
      </c>
      <c r="B250" t="s">
        <v>388</v>
      </c>
      <c r="C250">
        <v>1.77</v>
      </c>
      <c r="D250">
        <v>6.91</v>
      </c>
      <c r="E250">
        <v>0.12</v>
      </c>
      <c r="F250">
        <v>6.9</v>
      </c>
      <c r="G250">
        <v>6.91</v>
      </c>
      <c r="H250">
        <v>12182</v>
      </c>
      <c r="I250">
        <v>100</v>
      </c>
      <c r="J250">
        <v>0.28999999999999998</v>
      </c>
      <c r="K250">
        <v>0.2</v>
      </c>
      <c r="L250">
        <v>6.88</v>
      </c>
      <c r="M250">
        <v>6.91</v>
      </c>
      <c r="N250">
        <v>6.72</v>
      </c>
      <c r="O250">
        <v>6.79</v>
      </c>
      <c r="P250">
        <v>14.27</v>
      </c>
      <c r="Q250">
        <v>8327276</v>
      </c>
      <c r="R250">
        <v>0.51</v>
      </c>
      <c r="S250" t="s">
        <v>158</v>
      </c>
      <c r="T250" t="s">
        <v>47</v>
      </c>
      <c r="U250">
        <v>2.8</v>
      </c>
      <c r="V250">
        <v>6.84</v>
      </c>
      <c r="W250">
        <v>5486</v>
      </c>
      <c r="X250">
        <v>6696</v>
      </c>
      <c r="Y250">
        <v>0.82</v>
      </c>
      <c r="Z250">
        <v>54</v>
      </c>
      <c r="AA250">
        <v>26</v>
      </c>
      <c r="AB250" t="s">
        <v>31</v>
      </c>
    </row>
    <row r="251" spans="1:28">
      <c r="A251" t="str">
        <f>"600297"</f>
        <v>600297</v>
      </c>
      <c r="B251" t="s">
        <v>389</v>
      </c>
      <c r="C251">
        <v>1.23</v>
      </c>
      <c r="D251">
        <v>5.78</v>
      </c>
      <c r="E251">
        <v>7.0000000000000007E-2</v>
      </c>
      <c r="F251">
        <v>5.77</v>
      </c>
      <c r="G251">
        <v>5.78</v>
      </c>
      <c r="H251">
        <v>18112</v>
      </c>
      <c r="I251">
        <v>1</v>
      </c>
      <c r="J251">
        <v>0</v>
      </c>
      <c r="K251">
        <v>0.52</v>
      </c>
      <c r="L251">
        <v>5.72</v>
      </c>
      <c r="M251">
        <v>5.78</v>
      </c>
      <c r="N251">
        <v>5.7</v>
      </c>
      <c r="O251">
        <v>5.71</v>
      </c>
      <c r="P251">
        <v>50.37</v>
      </c>
      <c r="Q251">
        <v>10402089</v>
      </c>
      <c r="R251">
        <v>0.62</v>
      </c>
      <c r="S251" t="s">
        <v>117</v>
      </c>
      <c r="T251" t="s">
        <v>142</v>
      </c>
      <c r="U251">
        <v>1.4</v>
      </c>
      <c r="V251">
        <v>5.74</v>
      </c>
      <c r="W251">
        <v>9687</v>
      </c>
      <c r="X251">
        <v>8425</v>
      </c>
      <c r="Y251">
        <v>1.1499999999999999</v>
      </c>
      <c r="Z251">
        <v>30</v>
      </c>
      <c r="AA251">
        <v>306</v>
      </c>
      <c r="AB251" t="s">
        <v>31</v>
      </c>
    </row>
    <row r="252" spans="1:28">
      <c r="A252" t="str">
        <f>"600298"</f>
        <v>600298</v>
      </c>
      <c r="B252" t="s">
        <v>390</v>
      </c>
      <c r="C252">
        <v>-0.13</v>
      </c>
      <c r="D252">
        <v>15.29</v>
      </c>
      <c r="E252">
        <v>-0.02</v>
      </c>
      <c r="F252">
        <v>15.31</v>
      </c>
      <c r="G252">
        <v>15.32</v>
      </c>
      <c r="H252">
        <v>39421</v>
      </c>
      <c r="I252">
        <v>7</v>
      </c>
      <c r="J252">
        <v>0.32</v>
      </c>
      <c r="K252">
        <v>1.25</v>
      </c>
      <c r="L252">
        <v>15.31</v>
      </c>
      <c r="M252">
        <v>15.4</v>
      </c>
      <c r="N252">
        <v>15.2</v>
      </c>
      <c r="O252">
        <v>15.31</v>
      </c>
      <c r="P252">
        <v>28.46</v>
      </c>
      <c r="Q252">
        <v>60231060</v>
      </c>
      <c r="R252">
        <v>0.96</v>
      </c>
      <c r="S252" t="s">
        <v>133</v>
      </c>
      <c r="T252" t="s">
        <v>37</v>
      </c>
      <c r="U252">
        <v>1.31</v>
      </c>
      <c r="V252">
        <v>15.28</v>
      </c>
      <c r="W252">
        <v>17412</v>
      </c>
      <c r="X252">
        <v>22009</v>
      </c>
      <c r="Y252">
        <v>0.79</v>
      </c>
      <c r="Z252">
        <v>135</v>
      </c>
      <c r="AA252">
        <v>125</v>
      </c>
      <c r="AB252" t="s">
        <v>31</v>
      </c>
    </row>
    <row r="253" spans="1:28">
      <c r="A253" t="str">
        <f>"600299"</f>
        <v>600299</v>
      </c>
      <c r="B253" t="s">
        <v>391</v>
      </c>
      <c r="C253">
        <v>1.98</v>
      </c>
      <c r="D253">
        <v>4.6399999999999997</v>
      </c>
      <c r="E253">
        <v>0.09</v>
      </c>
      <c r="F253">
        <v>4.63</v>
      </c>
      <c r="G253">
        <v>4.6399999999999997</v>
      </c>
      <c r="H253">
        <v>11143</v>
      </c>
      <c r="I253">
        <v>12</v>
      </c>
      <c r="J253">
        <v>0.21</v>
      </c>
      <c r="K253">
        <v>0.21</v>
      </c>
      <c r="L253">
        <v>4.4800000000000004</v>
      </c>
      <c r="M253">
        <v>4.6500000000000004</v>
      </c>
      <c r="N253">
        <v>4.4800000000000004</v>
      </c>
      <c r="O253">
        <v>4.55</v>
      </c>
      <c r="P253" t="s">
        <v>31</v>
      </c>
      <c r="Q253">
        <v>5120587</v>
      </c>
      <c r="R253">
        <v>0.61</v>
      </c>
      <c r="S253" t="s">
        <v>137</v>
      </c>
      <c r="T253" t="s">
        <v>42</v>
      </c>
      <c r="U253">
        <v>3.74</v>
      </c>
      <c r="V253">
        <v>4.59</v>
      </c>
      <c r="W253">
        <v>4909</v>
      </c>
      <c r="X253">
        <v>6234</v>
      </c>
      <c r="Y253">
        <v>0.79</v>
      </c>
      <c r="Z253">
        <v>2</v>
      </c>
      <c r="AA253">
        <v>109</v>
      </c>
      <c r="AB253" t="s">
        <v>31</v>
      </c>
    </row>
    <row r="254" spans="1:28">
      <c r="A254" t="str">
        <f>"600300"</f>
        <v>600300</v>
      </c>
      <c r="B254" t="s">
        <v>392</v>
      </c>
      <c r="C254">
        <v>0.44</v>
      </c>
      <c r="D254">
        <v>4.54</v>
      </c>
      <c r="E254">
        <v>0.02</v>
      </c>
      <c r="F254">
        <v>4.54</v>
      </c>
      <c r="G254">
        <v>4.55</v>
      </c>
      <c r="H254">
        <v>98628</v>
      </c>
      <c r="I254">
        <v>63</v>
      </c>
      <c r="J254">
        <v>0</v>
      </c>
      <c r="K254">
        <v>0.59</v>
      </c>
      <c r="L254">
        <v>4.51</v>
      </c>
      <c r="M254">
        <v>4.5599999999999996</v>
      </c>
      <c r="N254">
        <v>4.45</v>
      </c>
      <c r="O254">
        <v>4.5199999999999996</v>
      </c>
      <c r="P254">
        <v>41.78</v>
      </c>
      <c r="Q254">
        <v>44448216</v>
      </c>
      <c r="R254">
        <v>0.75</v>
      </c>
      <c r="S254" t="s">
        <v>393</v>
      </c>
      <c r="T254" t="s">
        <v>120</v>
      </c>
      <c r="U254">
        <v>2.4300000000000002</v>
      </c>
      <c r="V254">
        <v>4.51</v>
      </c>
      <c r="W254">
        <v>48337</v>
      </c>
      <c r="X254">
        <v>50291</v>
      </c>
      <c r="Y254">
        <v>0.96</v>
      </c>
      <c r="Z254">
        <v>1096</v>
      </c>
      <c r="AA254">
        <v>1145</v>
      </c>
      <c r="AB254" t="s">
        <v>31</v>
      </c>
    </row>
    <row r="255" spans="1:28">
      <c r="A255" t="str">
        <f>"600301"</f>
        <v>600301</v>
      </c>
      <c r="B255" t="s">
        <v>394</v>
      </c>
      <c r="C255">
        <v>0.27</v>
      </c>
      <c r="D255">
        <v>7.49</v>
      </c>
      <c r="E255">
        <v>0.02</v>
      </c>
      <c r="F255">
        <v>7.48</v>
      </c>
      <c r="G255">
        <v>7.49</v>
      </c>
      <c r="H255">
        <v>12291</v>
      </c>
      <c r="I255">
        <v>69</v>
      </c>
      <c r="J255">
        <v>0.26</v>
      </c>
      <c r="K255">
        <v>0.52</v>
      </c>
      <c r="L255">
        <v>7.47</v>
      </c>
      <c r="M255">
        <v>7.52</v>
      </c>
      <c r="N255">
        <v>7.4</v>
      </c>
      <c r="O255">
        <v>7.47</v>
      </c>
      <c r="P255" t="s">
        <v>31</v>
      </c>
      <c r="Q255">
        <v>9165138</v>
      </c>
      <c r="R255">
        <v>0.35</v>
      </c>
      <c r="S255" t="s">
        <v>137</v>
      </c>
      <c r="T255" t="s">
        <v>333</v>
      </c>
      <c r="U255">
        <v>1.61</v>
      </c>
      <c r="V255">
        <v>7.46</v>
      </c>
      <c r="W255">
        <v>7373</v>
      </c>
      <c r="X255">
        <v>4918</v>
      </c>
      <c r="Y255">
        <v>1.5</v>
      </c>
      <c r="Z255">
        <v>21</v>
      </c>
      <c r="AA255">
        <v>19</v>
      </c>
      <c r="AB255" t="s">
        <v>31</v>
      </c>
    </row>
    <row r="256" spans="1:28">
      <c r="A256" t="str">
        <f>"600302"</f>
        <v>600302</v>
      </c>
      <c r="B256" t="s">
        <v>395</v>
      </c>
      <c r="C256">
        <v>-0.24</v>
      </c>
      <c r="D256">
        <v>4.2</v>
      </c>
      <c r="E256">
        <v>-0.01</v>
      </c>
      <c r="F256">
        <v>4.2</v>
      </c>
      <c r="G256">
        <v>4.21</v>
      </c>
      <c r="H256">
        <v>49759</v>
      </c>
      <c r="I256">
        <v>4</v>
      </c>
      <c r="J256">
        <v>0</v>
      </c>
      <c r="K256">
        <v>1.44</v>
      </c>
      <c r="L256">
        <v>4.2</v>
      </c>
      <c r="M256">
        <v>4.29</v>
      </c>
      <c r="N256">
        <v>4.04</v>
      </c>
      <c r="O256">
        <v>4.21</v>
      </c>
      <c r="P256" t="s">
        <v>31</v>
      </c>
      <c r="Q256">
        <v>20639008</v>
      </c>
      <c r="R256">
        <v>1.1000000000000001</v>
      </c>
      <c r="S256" t="s">
        <v>396</v>
      </c>
      <c r="T256" t="s">
        <v>147</v>
      </c>
      <c r="U256">
        <v>5.94</v>
      </c>
      <c r="V256">
        <v>4.1500000000000004</v>
      </c>
      <c r="W256">
        <v>34616</v>
      </c>
      <c r="X256">
        <v>15143</v>
      </c>
      <c r="Y256">
        <v>2.29</v>
      </c>
      <c r="Z256">
        <v>23</v>
      </c>
      <c r="AA256">
        <v>570</v>
      </c>
      <c r="AB256" t="s">
        <v>31</v>
      </c>
    </row>
    <row r="257" spans="1:28">
      <c r="A257" t="str">
        <f>"600303"</f>
        <v>600303</v>
      </c>
      <c r="B257" t="s">
        <v>397</v>
      </c>
      <c r="C257">
        <v>0</v>
      </c>
      <c r="D257">
        <v>4.1399999999999997</v>
      </c>
      <c r="E257">
        <v>0</v>
      </c>
      <c r="F257">
        <v>4.1399999999999997</v>
      </c>
      <c r="G257">
        <v>4.1500000000000004</v>
      </c>
      <c r="H257">
        <v>103529</v>
      </c>
      <c r="I257">
        <v>15</v>
      </c>
      <c r="J257">
        <v>0.24</v>
      </c>
      <c r="K257">
        <v>1.8</v>
      </c>
      <c r="L257">
        <v>4.0999999999999996</v>
      </c>
      <c r="M257">
        <v>4.1900000000000004</v>
      </c>
      <c r="N257">
        <v>4.03</v>
      </c>
      <c r="O257">
        <v>4.1399999999999997</v>
      </c>
      <c r="P257" t="s">
        <v>31</v>
      </c>
      <c r="Q257">
        <v>42693896</v>
      </c>
      <c r="R257">
        <v>0.59</v>
      </c>
      <c r="S257" t="s">
        <v>39</v>
      </c>
      <c r="T257" t="s">
        <v>142</v>
      </c>
      <c r="U257">
        <v>3.86</v>
      </c>
      <c r="V257">
        <v>4.12</v>
      </c>
      <c r="W257">
        <v>52501</v>
      </c>
      <c r="X257">
        <v>51028</v>
      </c>
      <c r="Y257">
        <v>1.03</v>
      </c>
      <c r="Z257">
        <v>147</v>
      </c>
      <c r="AA257">
        <v>157</v>
      </c>
      <c r="AB257" t="s">
        <v>31</v>
      </c>
    </row>
    <row r="258" spans="1:28">
      <c r="A258" t="str">
        <f>"600305"</f>
        <v>600305</v>
      </c>
      <c r="B258" t="s">
        <v>398</v>
      </c>
      <c r="C258">
        <v>-1.77</v>
      </c>
      <c r="D258">
        <v>32.18</v>
      </c>
      <c r="E258">
        <v>-0.57999999999999996</v>
      </c>
      <c r="F258">
        <v>32.049999999999997</v>
      </c>
      <c r="G258">
        <v>32.06</v>
      </c>
      <c r="H258">
        <v>15455</v>
      </c>
      <c r="I258">
        <v>1</v>
      </c>
      <c r="J258">
        <v>-0.46</v>
      </c>
      <c r="K258">
        <v>1.22</v>
      </c>
      <c r="L258">
        <v>32.049999999999997</v>
      </c>
      <c r="M258">
        <v>32.799999999999997</v>
      </c>
      <c r="N258">
        <v>31.76</v>
      </c>
      <c r="O258">
        <v>32.76</v>
      </c>
      <c r="P258">
        <v>113.84</v>
      </c>
      <c r="Q258">
        <v>49759688</v>
      </c>
      <c r="R258">
        <v>0.91</v>
      </c>
      <c r="S258" t="s">
        <v>133</v>
      </c>
      <c r="T258" t="s">
        <v>120</v>
      </c>
      <c r="U258">
        <v>3.17</v>
      </c>
      <c r="V258">
        <v>32.200000000000003</v>
      </c>
      <c r="W258">
        <v>7628</v>
      </c>
      <c r="X258">
        <v>7827</v>
      </c>
      <c r="Y258">
        <v>0.97</v>
      </c>
      <c r="Z258">
        <v>1</v>
      </c>
      <c r="AA258">
        <v>3</v>
      </c>
      <c r="AB258" t="s">
        <v>31</v>
      </c>
    </row>
    <row r="259" spans="1:28">
      <c r="A259" t="str">
        <f>"600306"</f>
        <v>600306</v>
      </c>
      <c r="B259" t="s">
        <v>399</v>
      </c>
      <c r="C259">
        <v>0.13</v>
      </c>
      <c r="D259">
        <v>7.6</v>
      </c>
      <c r="E259">
        <v>0.01</v>
      </c>
      <c r="F259">
        <v>7.6</v>
      </c>
      <c r="G259">
        <v>7.61</v>
      </c>
      <c r="H259">
        <v>18929</v>
      </c>
      <c r="I259">
        <v>7</v>
      </c>
      <c r="J259">
        <v>-0.26</v>
      </c>
      <c r="K259">
        <v>1.0900000000000001</v>
      </c>
      <c r="L259">
        <v>7.54</v>
      </c>
      <c r="M259">
        <v>7.68</v>
      </c>
      <c r="N259">
        <v>7.48</v>
      </c>
      <c r="O259">
        <v>7.59</v>
      </c>
      <c r="P259" t="s">
        <v>31</v>
      </c>
      <c r="Q259">
        <v>14350721</v>
      </c>
      <c r="R259">
        <v>0.64</v>
      </c>
      <c r="S259" t="s">
        <v>374</v>
      </c>
      <c r="T259" t="s">
        <v>142</v>
      </c>
      <c r="U259">
        <v>2.64</v>
      </c>
      <c r="V259">
        <v>7.58</v>
      </c>
      <c r="W259">
        <v>9233</v>
      </c>
      <c r="X259">
        <v>9696</v>
      </c>
      <c r="Y259">
        <v>0.95</v>
      </c>
      <c r="Z259">
        <v>400</v>
      </c>
      <c r="AA259">
        <v>64</v>
      </c>
      <c r="AB259" t="s">
        <v>31</v>
      </c>
    </row>
    <row r="260" spans="1:28">
      <c r="A260" t="str">
        <f>"600307"</f>
        <v>600307</v>
      </c>
      <c r="B260" t="s">
        <v>400</v>
      </c>
      <c r="C260">
        <v>1.87</v>
      </c>
      <c r="D260">
        <v>2.72</v>
      </c>
      <c r="E260">
        <v>0.05</v>
      </c>
      <c r="F260">
        <v>2.72</v>
      </c>
      <c r="G260">
        <v>2.73</v>
      </c>
      <c r="H260">
        <v>26679</v>
      </c>
      <c r="I260">
        <v>118</v>
      </c>
      <c r="J260">
        <v>0.36</v>
      </c>
      <c r="K260">
        <v>7.0000000000000007E-2</v>
      </c>
      <c r="L260">
        <v>2.69</v>
      </c>
      <c r="M260">
        <v>2.73</v>
      </c>
      <c r="N260">
        <v>2.67</v>
      </c>
      <c r="O260">
        <v>2.67</v>
      </c>
      <c r="P260">
        <v>35.5</v>
      </c>
      <c r="Q260">
        <v>7204401</v>
      </c>
      <c r="R260">
        <v>0.59</v>
      </c>
      <c r="S260" t="s">
        <v>36</v>
      </c>
      <c r="T260" t="s">
        <v>188</v>
      </c>
      <c r="U260">
        <v>2.25</v>
      </c>
      <c r="V260">
        <v>2.7</v>
      </c>
      <c r="W260">
        <v>8191</v>
      </c>
      <c r="X260">
        <v>18488</v>
      </c>
      <c r="Y260">
        <v>0.44</v>
      </c>
      <c r="Z260">
        <v>231</v>
      </c>
      <c r="AA260">
        <v>3237</v>
      </c>
      <c r="AB260" t="s">
        <v>31</v>
      </c>
    </row>
    <row r="261" spans="1:28">
      <c r="A261" t="str">
        <f>"600308"</f>
        <v>600308</v>
      </c>
      <c r="B261" t="s">
        <v>401</v>
      </c>
      <c r="C261">
        <v>3.67</v>
      </c>
      <c r="D261">
        <v>3.11</v>
      </c>
      <c r="E261">
        <v>0.11</v>
      </c>
      <c r="F261">
        <v>3.1</v>
      </c>
      <c r="G261">
        <v>3.11</v>
      </c>
      <c r="H261">
        <v>118541</v>
      </c>
      <c r="I261">
        <v>40</v>
      </c>
      <c r="J261">
        <v>0.32</v>
      </c>
      <c r="K261">
        <v>1.02</v>
      </c>
      <c r="L261">
        <v>3</v>
      </c>
      <c r="M261">
        <v>3.12</v>
      </c>
      <c r="N261">
        <v>3</v>
      </c>
      <c r="O261">
        <v>3</v>
      </c>
      <c r="P261">
        <v>41.21</v>
      </c>
      <c r="Q261">
        <v>36415860</v>
      </c>
      <c r="R261">
        <v>0.97</v>
      </c>
      <c r="S261" t="s">
        <v>125</v>
      </c>
      <c r="T261" t="s">
        <v>57</v>
      </c>
      <c r="U261">
        <v>4</v>
      </c>
      <c r="V261">
        <v>3.07</v>
      </c>
      <c r="W261">
        <v>54081</v>
      </c>
      <c r="X261">
        <v>64460</v>
      </c>
      <c r="Y261">
        <v>0.84</v>
      </c>
      <c r="Z261">
        <v>57</v>
      </c>
      <c r="AA261">
        <v>2525</v>
      </c>
      <c r="AB261" t="s">
        <v>31</v>
      </c>
    </row>
    <row r="262" spans="1:28">
      <c r="A262" t="str">
        <f>"600309"</f>
        <v>600309</v>
      </c>
      <c r="B262" t="s">
        <v>402</v>
      </c>
      <c r="C262">
        <v>3.76</v>
      </c>
      <c r="D262">
        <v>17.37</v>
      </c>
      <c r="E262">
        <v>0.63</v>
      </c>
      <c r="F262">
        <v>17.37</v>
      </c>
      <c r="G262">
        <v>17.38</v>
      </c>
      <c r="H262">
        <v>171500</v>
      </c>
      <c r="I262">
        <v>2</v>
      </c>
      <c r="J262">
        <v>-0.05</v>
      </c>
      <c r="K262">
        <v>0.79</v>
      </c>
      <c r="L262">
        <v>16.73</v>
      </c>
      <c r="M262">
        <v>17.43</v>
      </c>
      <c r="N262">
        <v>16.55</v>
      </c>
      <c r="O262">
        <v>16.739999999999998</v>
      </c>
      <c r="P262">
        <v>12.05</v>
      </c>
      <c r="Q262">
        <v>293298688</v>
      </c>
      <c r="R262">
        <v>1.27</v>
      </c>
      <c r="S262" t="s">
        <v>137</v>
      </c>
      <c r="T262" t="s">
        <v>57</v>
      </c>
      <c r="U262">
        <v>5.26</v>
      </c>
      <c r="V262">
        <v>17.100000000000001</v>
      </c>
      <c r="W262">
        <v>92777</v>
      </c>
      <c r="X262">
        <v>78723</v>
      </c>
      <c r="Y262">
        <v>1.18</v>
      </c>
      <c r="Z262">
        <v>82</v>
      </c>
      <c r="AA262">
        <v>276</v>
      </c>
      <c r="AB262" t="s">
        <v>31</v>
      </c>
    </row>
    <row r="263" spans="1:28">
      <c r="A263" t="str">
        <f>"600310"</f>
        <v>600310</v>
      </c>
      <c r="B263" t="s">
        <v>403</v>
      </c>
      <c r="C263">
        <v>4.92</v>
      </c>
      <c r="D263">
        <v>10.44</v>
      </c>
      <c r="E263">
        <v>0.49</v>
      </c>
      <c r="F263">
        <v>10.42</v>
      </c>
      <c r="G263">
        <v>10.43</v>
      </c>
      <c r="H263">
        <v>44914</v>
      </c>
      <c r="I263">
        <v>3</v>
      </c>
      <c r="J263">
        <v>0.09</v>
      </c>
      <c r="K263">
        <v>1.63</v>
      </c>
      <c r="L263">
        <v>9.91</v>
      </c>
      <c r="M263">
        <v>10.58</v>
      </c>
      <c r="N263">
        <v>9.91</v>
      </c>
      <c r="O263">
        <v>9.9499999999999993</v>
      </c>
      <c r="P263">
        <v>28.3</v>
      </c>
      <c r="Q263">
        <v>46448104</v>
      </c>
      <c r="R263">
        <v>1.85</v>
      </c>
      <c r="S263" t="s">
        <v>179</v>
      </c>
      <c r="T263" t="s">
        <v>333</v>
      </c>
      <c r="U263">
        <v>6.73</v>
      </c>
      <c r="V263">
        <v>10.34</v>
      </c>
      <c r="W263">
        <v>20727</v>
      </c>
      <c r="X263">
        <v>24187</v>
      </c>
      <c r="Y263">
        <v>0.86</v>
      </c>
      <c r="Z263">
        <v>60</v>
      </c>
      <c r="AA263">
        <v>6</v>
      </c>
      <c r="AB263" t="s">
        <v>31</v>
      </c>
    </row>
    <row r="264" spans="1:28">
      <c r="A264" t="str">
        <f>"600311"</f>
        <v>600311</v>
      </c>
      <c r="B264" t="s">
        <v>404</v>
      </c>
      <c r="C264">
        <v>0.9</v>
      </c>
      <c r="D264">
        <v>5.6</v>
      </c>
      <c r="E264">
        <v>0.05</v>
      </c>
      <c r="F264">
        <v>5.6</v>
      </c>
      <c r="G264">
        <v>5.61</v>
      </c>
      <c r="H264">
        <v>47096</v>
      </c>
      <c r="I264">
        <v>20</v>
      </c>
      <c r="J264">
        <v>0</v>
      </c>
      <c r="K264">
        <v>0.71</v>
      </c>
      <c r="L264">
        <v>5.58</v>
      </c>
      <c r="M264">
        <v>5.63</v>
      </c>
      <c r="N264">
        <v>5.49</v>
      </c>
      <c r="O264">
        <v>5.55</v>
      </c>
      <c r="P264">
        <v>1679.5</v>
      </c>
      <c r="Q264">
        <v>26202512</v>
      </c>
      <c r="R264">
        <v>0.66</v>
      </c>
      <c r="S264" t="s">
        <v>405</v>
      </c>
      <c r="T264" t="s">
        <v>188</v>
      </c>
      <c r="U264">
        <v>2.52</v>
      </c>
      <c r="V264">
        <v>5.56</v>
      </c>
      <c r="W264">
        <v>21757</v>
      </c>
      <c r="X264">
        <v>25339</v>
      </c>
      <c r="Y264">
        <v>0.86</v>
      </c>
      <c r="Z264">
        <v>95</v>
      </c>
      <c r="AA264">
        <v>156</v>
      </c>
      <c r="AB264" t="s">
        <v>31</v>
      </c>
    </row>
    <row r="265" spans="1:28">
      <c r="A265" t="str">
        <f>"600312"</f>
        <v>600312</v>
      </c>
      <c r="B265" t="s">
        <v>406</v>
      </c>
      <c r="C265">
        <v>1.32</v>
      </c>
      <c r="D265">
        <v>9.24</v>
      </c>
      <c r="E265">
        <v>0.12</v>
      </c>
      <c r="F265">
        <v>9.25</v>
      </c>
      <c r="G265">
        <v>9.26</v>
      </c>
      <c r="H265">
        <v>80603</v>
      </c>
      <c r="I265">
        <v>15</v>
      </c>
      <c r="J265">
        <v>0.43</v>
      </c>
      <c r="K265">
        <v>0.98</v>
      </c>
      <c r="L265">
        <v>9.17</v>
      </c>
      <c r="M265">
        <v>9.26</v>
      </c>
      <c r="N265">
        <v>9.1300000000000008</v>
      </c>
      <c r="O265">
        <v>9.1199999999999992</v>
      </c>
      <c r="P265">
        <v>26.97</v>
      </c>
      <c r="Q265">
        <v>74053272</v>
      </c>
      <c r="R265">
        <v>0.75</v>
      </c>
      <c r="S265" t="s">
        <v>161</v>
      </c>
      <c r="T265" t="s">
        <v>61</v>
      </c>
      <c r="U265">
        <v>1.43</v>
      </c>
      <c r="V265">
        <v>9.19</v>
      </c>
      <c r="W265">
        <v>39688</v>
      </c>
      <c r="X265">
        <v>40915</v>
      </c>
      <c r="Y265">
        <v>0.97</v>
      </c>
      <c r="Z265">
        <v>176</v>
      </c>
      <c r="AA265">
        <v>1123</v>
      </c>
      <c r="AB265" t="s">
        <v>31</v>
      </c>
    </row>
    <row r="266" spans="1:28">
      <c r="A266" t="str">
        <f>"600313"</f>
        <v>600313</v>
      </c>
      <c r="B266" t="s">
        <v>407</v>
      </c>
      <c r="C266">
        <v>0.82</v>
      </c>
      <c r="D266">
        <v>7.36</v>
      </c>
      <c r="E266">
        <v>0.06</v>
      </c>
      <c r="F266">
        <v>7.36</v>
      </c>
      <c r="G266">
        <v>7.37</v>
      </c>
      <c r="H266">
        <v>41924</v>
      </c>
      <c r="I266">
        <v>1</v>
      </c>
      <c r="J266">
        <v>0.13</v>
      </c>
      <c r="K266">
        <v>1.38</v>
      </c>
      <c r="L266">
        <v>7.3</v>
      </c>
      <c r="M266">
        <v>7.45</v>
      </c>
      <c r="N266">
        <v>7.28</v>
      </c>
      <c r="O266">
        <v>7.3</v>
      </c>
      <c r="P266" t="s">
        <v>31</v>
      </c>
      <c r="Q266">
        <v>30915148</v>
      </c>
      <c r="R266">
        <v>0.72</v>
      </c>
      <c r="S266" t="s">
        <v>408</v>
      </c>
      <c r="T266" t="s">
        <v>42</v>
      </c>
      <c r="U266">
        <v>2.33</v>
      </c>
      <c r="V266">
        <v>7.37</v>
      </c>
      <c r="W266">
        <v>22642</v>
      </c>
      <c r="X266">
        <v>19282</v>
      </c>
      <c r="Y266">
        <v>1.17</v>
      </c>
      <c r="Z266">
        <v>131</v>
      </c>
      <c r="AA266">
        <v>133</v>
      </c>
      <c r="AB266" t="s">
        <v>31</v>
      </c>
    </row>
    <row r="267" spans="1:28">
      <c r="A267" t="str">
        <f>"600315"</f>
        <v>600315</v>
      </c>
      <c r="B267" t="s">
        <v>409</v>
      </c>
      <c r="C267">
        <v>-0.95</v>
      </c>
      <c r="D267">
        <v>43.91</v>
      </c>
      <c r="E267">
        <v>-0.42</v>
      </c>
      <c r="F267">
        <v>43.91</v>
      </c>
      <c r="G267">
        <v>43.99</v>
      </c>
      <c r="H267">
        <v>68772</v>
      </c>
      <c r="I267">
        <v>2</v>
      </c>
      <c r="J267">
        <v>0.02</v>
      </c>
      <c r="K267">
        <v>1.06</v>
      </c>
      <c r="L267">
        <v>44.33</v>
      </c>
      <c r="M267">
        <v>44.4</v>
      </c>
      <c r="N267">
        <v>43.14</v>
      </c>
      <c r="O267">
        <v>44.33</v>
      </c>
      <c r="P267">
        <v>30.14</v>
      </c>
      <c r="Q267">
        <v>300517440</v>
      </c>
      <c r="R267">
        <v>1.05</v>
      </c>
      <c r="S267" t="s">
        <v>346</v>
      </c>
      <c r="T267" t="s">
        <v>30</v>
      </c>
      <c r="U267">
        <v>2.84</v>
      </c>
      <c r="V267">
        <v>43.7</v>
      </c>
      <c r="W267">
        <v>36663</v>
      </c>
      <c r="X267">
        <v>32109</v>
      </c>
      <c r="Y267">
        <v>1.1399999999999999</v>
      </c>
      <c r="Z267">
        <v>9</v>
      </c>
      <c r="AA267">
        <v>8</v>
      </c>
      <c r="AB267" t="s">
        <v>31</v>
      </c>
    </row>
    <row r="268" spans="1:28">
      <c r="A268" t="str">
        <f>"600316"</f>
        <v>600316</v>
      </c>
      <c r="B268" t="s">
        <v>410</v>
      </c>
      <c r="C268">
        <v>2.5</v>
      </c>
      <c r="D268">
        <v>16.010000000000002</v>
      </c>
      <c r="E268">
        <v>0.39</v>
      </c>
      <c r="F268">
        <v>16</v>
      </c>
      <c r="G268">
        <v>16.02</v>
      </c>
      <c r="H268">
        <v>60828</v>
      </c>
      <c r="I268">
        <v>66</v>
      </c>
      <c r="J268">
        <v>-0.24</v>
      </c>
      <c r="K268">
        <v>0.85</v>
      </c>
      <c r="L268">
        <v>15.62</v>
      </c>
      <c r="M268">
        <v>16.100000000000001</v>
      </c>
      <c r="N268">
        <v>15.45</v>
      </c>
      <c r="O268">
        <v>15.62</v>
      </c>
      <c r="P268">
        <v>745.46</v>
      </c>
      <c r="Q268">
        <v>95728232</v>
      </c>
      <c r="R268">
        <v>1.07</v>
      </c>
      <c r="S268" t="s">
        <v>84</v>
      </c>
      <c r="T268" t="s">
        <v>99</v>
      </c>
      <c r="U268">
        <v>4.16</v>
      </c>
      <c r="V268">
        <v>15.74</v>
      </c>
      <c r="W268">
        <v>30520</v>
      </c>
      <c r="X268">
        <v>30308</v>
      </c>
      <c r="Y268">
        <v>1.01</v>
      </c>
      <c r="Z268">
        <v>309</v>
      </c>
      <c r="AA268">
        <v>5</v>
      </c>
      <c r="AB268" t="s">
        <v>31</v>
      </c>
    </row>
    <row r="269" spans="1:28">
      <c r="A269" t="str">
        <f>"600317"</f>
        <v>600317</v>
      </c>
      <c r="B269" t="s">
        <v>411</v>
      </c>
      <c r="C269">
        <v>2.0699999999999998</v>
      </c>
      <c r="D269">
        <v>3.45</v>
      </c>
      <c r="E269">
        <v>7.0000000000000007E-2</v>
      </c>
      <c r="F269">
        <v>3.45</v>
      </c>
      <c r="G269">
        <v>3.46</v>
      </c>
      <c r="H269">
        <v>33375</v>
      </c>
      <c r="I269">
        <v>946</v>
      </c>
      <c r="J269">
        <v>0.28999999999999998</v>
      </c>
      <c r="K269">
        <v>0.3</v>
      </c>
      <c r="L269">
        <v>3.36</v>
      </c>
      <c r="M269">
        <v>3.45</v>
      </c>
      <c r="N269">
        <v>3.33</v>
      </c>
      <c r="O269">
        <v>3.38</v>
      </c>
      <c r="P269">
        <v>12.29</v>
      </c>
      <c r="Q269">
        <v>11354468</v>
      </c>
      <c r="R269">
        <v>1.0900000000000001</v>
      </c>
      <c r="S269" t="s">
        <v>56</v>
      </c>
      <c r="T269" t="s">
        <v>142</v>
      </c>
      <c r="U269">
        <v>3.55</v>
      </c>
      <c r="V269">
        <v>3.4</v>
      </c>
      <c r="W269">
        <v>14810</v>
      </c>
      <c r="X269">
        <v>18565</v>
      </c>
      <c r="Y269">
        <v>0.8</v>
      </c>
      <c r="Z269">
        <v>478</v>
      </c>
      <c r="AA269">
        <v>776</v>
      </c>
      <c r="AB269" t="s">
        <v>31</v>
      </c>
    </row>
    <row r="270" spans="1:28">
      <c r="A270" t="str">
        <f>"600318"</f>
        <v>600318</v>
      </c>
      <c r="B270" t="s">
        <v>412</v>
      </c>
      <c r="C270">
        <v>0.82</v>
      </c>
      <c r="D270">
        <v>8.64</v>
      </c>
      <c r="E270">
        <v>7.0000000000000007E-2</v>
      </c>
      <c r="F270">
        <v>8.6300000000000008</v>
      </c>
      <c r="G270">
        <v>8.64</v>
      </c>
      <c r="H270">
        <v>27715</v>
      </c>
      <c r="I270">
        <v>17</v>
      </c>
      <c r="J270">
        <v>0.11</v>
      </c>
      <c r="K270">
        <v>1.1499999999999999</v>
      </c>
      <c r="L270">
        <v>8.6</v>
      </c>
      <c r="M270">
        <v>8.64</v>
      </c>
      <c r="N270">
        <v>8.41</v>
      </c>
      <c r="O270">
        <v>8.57</v>
      </c>
      <c r="P270">
        <v>32.200000000000003</v>
      </c>
      <c r="Q270">
        <v>23718052</v>
      </c>
      <c r="R270">
        <v>0.81</v>
      </c>
      <c r="S270" t="s">
        <v>312</v>
      </c>
      <c r="T270" t="s">
        <v>52</v>
      </c>
      <c r="U270">
        <v>2.68</v>
      </c>
      <c r="V270">
        <v>8.56</v>
      </c>
      <c r="W270">
        <v>16142</v>
      </c>
      <c r="X270">
        <v>11573</v>
      </c>
      <c r="Y270">
        <v>1.39</v>
      </c>
      <c r="Z270">
        <v>55</v>
      </c>
      <c r="AA270">
        <v>135</v>
      </c>
      <c r="AB270" t="s">
        <v>31</v>
      </c>
    </row>
    <row r="271" spans="1:28">
      <c r="A271" t="str">
        <f>"600319"</f>
        <v>600319</v>
      </c>
      <c r="B271" t="s">
        <v>413</v>
      </c>
      <c r="C271">
        <v>1.77</v>
      </c>
      <c r="D271">
        <v>4.0199999999999996</v>
      </c>
      <c r="E271">
        <v>7.0000000000000007E-2</v>
      </c>
      <c r="F271">
        <v>4.01</v>
      </c>
      <c r="G271">
        <v>4.0199999999999996</v>
      </c>
      <c r="H271">
        <v>7539</v>
      </c>
      <c r="I271">
        <v>5</v>
      </c>
      <c r="J271">
        <v>0</v>
      </c>
      <c r="K271">
        <v>0.24</v>
      </c>
      <c r="L271">
        <v>3.88</v>
      </c>
      <c r="M271">
        <v>4.03</v>
      </c>
      <c r="N271">
        <v>3.88</v>
      </c>
      <c r="O271">
        <v>3.95</v>
      </c>
      <c r="P271" t="s">
        <v>31</v>
      </c>
      <c r="Q271">
        <v>2990467</v>
      </c>
      <c r="R271">
        <v>0.47</v>
      </c>
      <c r="S271" t="s">
        <v>137</v>
      </c>
      <c r="T271" t="s">
        <v>57</v>
      </c>
      <c r="U271">
        <v>3.8</v>
      </c>
      <c r="V271">
        <v>3.97</v>
      </c>
      <c r="W271">
        <v>4612</v>
      </c>
      <c r="X271">
        <v>2927</v>
      </c>
      <c r="Y271">
        <v>1.58</v>
      </c>
      <c r="Z271">
        <v>211</v>
      </c>
      <c r="AA271">
        <v>0</v>
      </c>
      <c r="AB271" t="s">
        <v>31</v>
      </c>
    </row>
    <row r="272" spans="1:28">
      <c r="A272" t="str">
        <f>"600320"</f>
        <v>600320</v>
      </c>
      <c r="B272" t="s">
        <v>414</v>
      </c>
      <c r="C272">
        <v>1.49</v>
      </c>
      <c r="D272">
        <v>3.41</v>
      </c>
      <c r="E272">
        <v>0.05</v>
      </c>
      <c r="F272">
        <v>3.41</v>
      </c>
      <c r="G272">
        <v>3.42</v>
      </c>
      <c r="H272">
        <v>81974</v>
      </c>
      <c r="I272">
        <v>23</v>
      </c>
      <c r="J272">
        <v>-0.28999999999999998</v>
      </c>
      <c r="K272">
        <v>0.3</v>
      </c>
      <c r="L272">
        <v>3.38</v>
      </c>
      <c r="M272">
        <v>3.42</v>
      </c>
      <c r="N272">
        <v>3.34</v>
      </c>
      <c r="O272">
        <v>3.36</v>
      </c>
      <c r="P272">
        <v>175.25</v>
      </c>
      <c r="Q272">
        <v>27774856</v>
      </c>
      <c r="R272">
        <v>0.74</v>
      </c>
      <c r="S272" t="s">
        <v>75</v>
      </c>
      <c r="T272" t="s">
        <v>30</v>
      </c>
      <c r="U272">
        <v>2.38</v>
      </c>
      <c r="V272">
        <v>3.39</v>
      </c>
      <c r="W272">
        <v>34171</v>
      </c>
      <c r="X272">
        <v>47803</v>
      </c>
      <c r="Y272">
        <v>0.71</v>
      </c>
      <c r="Z272">
        <v>81</v>
      </c>
      <c r="AA272">
        <v>4395</v>
      </c>
      <c r="AB272" t="s">
        <v>31</v>
      </c>
    </row>
    <row r="273" spans="1:28">
      <c r="A273" t="str">
        <f>"600321"</f>
        <v>600321</v>
      </c>
      <c r="B273" t="s">
        <v>415</v>
      </c>
      <c r="C273">
        <v>1.9</v>
      </c>
      <c r="D273">
        <v>2.15</v>
      </c>
      <c r="E273">
        <v>0.04</v>
      </c>
      <c r="F273">
        <v>2.14</v>
      </c>
      <c r="G273">
        <v>2.15</v>
      </c>
      <c r="H273">
        <v>134882</v>
      </c>
      <c r="I273">
        <v>1</v>
      </c>
      <c r="J273">
        <v>0.46</v>
      </c>
      <c r="K273">
        <v>1.1399999999999999</v>
      </c>
      <c r="L273">
        <v>2.11</v>
      </c>
      <c r="M273">
        <v>2.15</v>
      </c>
      <c r="N273">
        <v>2.08</v>
      </c>
      <c r="O273">
        <v>2.11</v>
      </c>
      <c r="P273">
        <v>66.42</v>
      </c>
      <c r="Q273">
        <v>28516864</v>
      </c>
      <c r="R273">
        <v>0.32</v>
      </c>
      <c r="S273" t="s">
        <v>416</v>
      </c>
      <c r="T273" t="s">
        <v>88</v>
      </c>
      <c r="U273">
        <v>3.32</v>
      </c>
      <c r="V273">
        <v>2.11</v>
      </c>
      <c r="W273">
        <v>60872</v>
      </c>
      <c r="X273">
        <v>74010</v>
      </c>
      <c r="Y273">
        <v>0.82</v>
      </c>
      <c r="Z273">
        <v>3260</v>
      </c>
      <c r="AA273">
        <v>7137</v>
      </c>
      <c r="AB273" t="s">
        <v>31</v>
      </c>
    </row>
    <row r="274" spans="1:28">
      <c r="A274" t="str">
        <f>"600322"</f>
        <v>600322</v>
      </c>
      <c r="B274" t="s">
        <v>417</v>
      </c>
      <c r="C274">
        <v>5.59</v>
      </c>
      <c r="D274">
        <v>3.4</v>
      </c>
      <c r="E274">
        <v>0.18</v>
      </c>
      <c r="F274">
        <v>3.4</v>
      </c>
      <c r="G274">
        <v>3.41</v>
      </c>
      <c r="H274">
        <v>238254</v>
      </c>
      <c r="I274">
        <v>193</v>
      </c>
      <c r="J274">
        <v>0</v>
      </c>
      <c r="K274">
        <v>2.15</v>
      </c>
      <c r="L274">
        <v>3.2</v>
      </c>
      <c r="M274">
        <v>3.45</v>
      </c>
      <c r="N274">
        <v>3.18</v>
      </c>
      <c r="O274">
        <v>3.22</v>
      </c>
      <c r="P274">
        <v>25.31</v>
      </c>
      <c r="Q274">
        <v>79427680</v>
      </c>
      <c r="R274">
        <v>1.2</v>
      </c>
      <c r="S274" t="s">
        <v>97</v>
      </c>
      <c r="T274" t="s">
        <v>151</v>
      </c>
      <c r="U274">
        <v>8.39</v>
      </c>
      <c r="V274">
        <v>3.33</v>
      </c>
      <c r="W274">
        <v>113287</v>
      </c>
      <c r="X274">
        <v>124967</v>
      </c>
      <c r="Y274">
        <v>0.91</v>
      </c>
      <c r="Z274">
        <v>266</v>
      </c>
      <c r="AA274">
        <v>3753</v>
      </c>
      <c r="AB274" t="s">
        <v>31</v>
      </c>
    </row>
    <row r="275" spans="1:28">
      <c r="A275" t="str">
        <f>"600323"</f>
        <v>600323</v>
      </c>
      <c r="B275" t="s">
        <v>418</v>
      </c>
      <c r="C275">
        <v>0</v>
      </c>
      <c r="D275">
        <v>10.220000000000001</v>
      </c>
      <c r="E275">
        <v>0</v>
      </c>
      <c r="F275" t="s">
        <v>31</v>
      </c>
      <c r="G275" t="s">
        <v>31</v>
      </c>
      <c r="H275">
        <v>0</v>
      </c>
      <c r="I275">
        <v>0</v>
      </c>
      <c r="J275">
        <v>0</v>
      </c>
      <c r="K275">
        <v>0</v>
      </c>
      <c r="L275" t="s">
        <v>31</v>
      </c>
      <c r="M275" t="s">
        <v>31</v>
      </c>
      <c r="N275" t="s">
        <v>31</v>
      </c>
      <c r="O275">
        <v>10.220000000000001</v>
      </c>
      <c r="P275">
        <v>23.84</v>
      </c>
      <c r="Q275">
        <v>0</v>
      </c>
      <c r="R275">
        <v>0</v>
      </c>
      <c r="S275" t="s">
        <v>259</v>
      </c>
      <c r="T275" t="s">
        <v>34</v>
      </c>
      <c r="U275">
        <v>0</v>
      </c>
      <c r="V275">
        <v>10.220000000000001</v>
      </c>
      <c r="W275">
        <v>0</v>
      </c>
      <c r="X275">
        <v>0</v>
      </c>
      <c r="Y275" t="s">
        <v>31</v>
      </c>
      <c r="Z275">
        <v>0</v>
      </c>
      <c r="AA275">
        <v>0</v>
      </c>
      <c r="AB275" t="s">
        <v>31</v>
      </c>
    </row>
    <row r="276" spans="1:28">
      <c r="A276" t="str">
        <f>"600325"</f>
        <v>600325</v>
      </c>
      <c r="B276" t="s">
        <v>419</v>
      </c>
      <c r="C276">
        <v>1.9</v>
      </c>
      <c r="D276">
        <v>6.98</v>
      </c>
      <c r="E276">
        <v>0.13</v>
      </c>
      <c r="F276">
        <v>6.98</v>
      </c>
      <c r="G276">
        <v>6.99</v>
      </c>
      <c r="H276">
        <v>59888</v>
      </c>
      <c r="I276">
        <v>10</v>
      </c>
      <c r="J276">
        <v>0.86</v>
      </c>
      <c r="K276">
        <v>0.73</v>
      </c>
      <c r="L276">
        <v>6.85</v>
      </c>
      <c r="M276">
        <v>6.99</v>
      </c>
      <c r="N276">
        <v>6.78</v>
      </c>
      <c r="O276">
        <v>6.85</v>
      </c>
      <c r="P276">
        <v>16.23</v>
      </c>
      <c r="Q276">
        <v>41211296</v>
      </c>
      <c r="R276">
        <v>0.51</v>
      </c>
      <c r="S276" t="s">
        <v>97</v>
      </c>
      <c r="T276" t="s">
        <v>34</v>
      </c>
      <c r="U276">
        <v>3.07</v>
      </c>
      <c r="V276">
        <v>6.88</v>
      </c>
      <c r="W276">
        <v>26703</v>
      </c>
      <c r="X276">
        <v>33185</v>
      </c>
      <c r="Y276">
        <v>0.8</v>
      </c>
      <c r="Z276">
        <v>27</v>
      </c>
      <c r="AA276">
        <v>1085</v>
      </c>
      <c r="AB276" t="s">
        <v>31</v>
      </c>
    </row>
    <row r="277" spans="1:28">
      <c r="A277" t="str">
        <f>"600326"</f>
        <v>600326</v>
      </c>
      <c r="B277" t="s">
        <v>420</v>
      </c>
      <c r="C277">
        <v>1.94</v>
      </c>
      <c r="D277">
        <v>6.31</v>
      </c>
      <c r="E277">
        <v>0.12</v>
      </c>
      <c r="F277">
        <v>6.31</v>
      </c>
      <c r="G277">
        <v>6.32</v>
      </c>
      <c r="H277">
        <v>31686</v>
      </c>
      <c r="I277">
        <v>180</v>
      </c>
      <c r="J277">
        <v>0.15</v>
      </c>
      <c r="K277">
        <v>0.57999999999999996</v>
      </c>
      <c r="L277">
        <v>6.22</v>
      </c>
      <c r="M277">
        <v>6.33</v>
      </c>
      <c r="N277">
        <v>6.17</v>
      </c>
      <c r="O277">
        <v>6.19</v>
      </c>
      <c r="P277">
        <v>65.510000000000005</v>
      </c>
      <c r="Q277">
        <v>19857232</v>
      </c>
      <c r="R277">
        <v>0.49</v>
      </c>
      <c r="S277" t="s">
        <v>87</v>
      </c>
      <c r="T277" t="s">
        <v>306</v>
      </c>
      <c r="U277">
        <v>2.58</v>
      </c>
      <c r="V277">
        <v>6.27</v>
      </c>
      <c r="W277">
        <v>12779</v>
      </c>
      <c r="X277">
        <v>18907</v>
      </c>
      <c r="Y277">
        <v>0.68</v>
      </c>
      <c r="Z277">
        <v>164</v>
      </c>
      <c r="AA277">
        <v>44</v>
      </c>
      <c r="AB277" t="s">
        <v>31</v>
      </c>
    </row>
    <row r="278" spans="1:28">
      <c r="A278" t="str">
        <f>"600327"</f>
        <v>600327</v>
      </c>
      <c r="B278" t="s">
        <v>421</v>
      </c>
      <c r="C278">
        <v>1.71</v>
      </c>
      <c r="D278">
        <v>5.36</v>
      </c>
      <c r="E278">
        <v>0.09</v>
      </c>
      <c r="F278">
        <v>5.35</v>
      </c>
      <c r="G278">
        <v>5.36</v>
      </c>
      <c r="H278">
        <v>94593</v>
      </c>
      <c r="I278">
        <v>10</v>
      </c>
      <c r="J278">
        <v>0.37</v>
      </c>
      <c r="K278">
        <v>1.81</v>
      </c>
      <c r="L278">
        <v>5.27</v>
      </c>
      <c r="M278">
        <v>5.37</v>
      </c>
      <c r="N278">
        <v>5.18</v>
      </c>
      <c r="O278">
        <v>5.27</v>
      </c>
      <c r="P278">
        <v>16.170000000000002</v>
      </c>
      <c r="Q278">
        <v>50006708</v>
      </c>
      <c r="R278">
        <v>0.68</v>
      </c>
      <c r="S278" t="s">
        <v>374</v>
      </c>
      <c r="T278" t="s">
        <v>120</v>
      </c>
      <c r="U278">
        <v>3.61</v>
      </c>
      <c r="V278">
        <v>5.29</v>
      </c>
      <c r="W278">
        <v>47759</v>
      </c>
      <c r="X278">
        <v>46834</v>
      </c>
      <c r="Y278">
        <v>1.02</v>
      </c>
      <c r="Z278">
        <v>178</v>
      </c>
      <c r="AA278">
        <v>966</v>
      </c>
      <c r="AB278" t="s">
        <v>31</v>
      </c>
    </row>
    <row r="279" spans="1:28">
      <c r="A279" t="str">
        <f>"600328"</f>
        <v>600328</v>
      </c>
      <c r="B279" t="s">
        <v>422</v>
      </c>
      <c r="C279">
        <v>0.28999999999999998</v>
      </c>
      <c r="D279">
        <v>6.86</v>
      </c>
      <c r="E279">
        <v>0.02</v>
      </c>
      <c r="F279">
        <v>6.85</v>
      </c>
      <c r="G279">
        <v>6.86</v>
      </c>
      <c r="H279">
        <v>50398</v>
      </c>
      <c r="I279">
        <v>75</v>
      </c>
      <c r="J279">
        <v>0</v>
      </c>
      <c r="K279">
        <v>1.4</v>
      </c>
      <c r="L279">
        <v>6.81</v>
      </c>
      <c r="M279">
        <v>6.88</v>
      </c>
      <c r="N279">
        <v>6.66</v>
      </c>
      <c r="O279">
        <v>6.84</v>
      </c>
      <c r="P279">
        <v>46.34</v>
      </c>
      <c r="Q279">
        <v>34099692</v>
      </c>
      <c r="R279">
        <v>0.78</v>
      </c>
      <c r="S279" t="s">
        <v>137</v>
      </c>
      <c r="T279" t="s">
        <v>47</v>
      </c>
      <c r="U279">
        <v>3.22</v>
      </c>
      <c r="V279">
        <v>6.77</v>
      </c>
      <c r="W279">
        <v>26459</v>
      </c>
      <c r="X279">
        <v>23939</v>
      </c>
      <c r="Y279">
        <v>1.1100000000000001</v>
      </c>
      <c r="Z279">
        <v>131</v>
      </c>
      <c r="AA279">
        <v>60</v>
      </c>
      <c r="AB279" t="s">
        <v>31</v>
      </c>
    </row>
    <row r="280" spans="1:28">
      <c r="A280" t="str">
        <f>"600329"</f>
        <v>600329</v>
      </c>
      <c r="B280" t="s">
        <v>423</v>
      </c>
      <c r="C280">
        <v>1.0900000000000001</v>
      </c>
      <c r="D280">
        <v>12.09</v>
      </c>
      <c r="E280">
        <v>0.13</v>
      </c>
      <c r="F280">
        <v>12.09</v>
      </c>
      <c r="G280">
        <v>12.1</v>
      </c>
      <c r="H280">
        <v>33687</v>
      </c>
      <c r="I280">
        <v>164</v>
      </c>
      <c r="J280">
        <v>0.24</v>
      </c>
      <c r="K280">
        <v>0.63</v>
      </c>
      <c r="L280">
        <v>11.98</v>
      </c>
      <c r="M280">
        <v>12.16</v>
      </c>
      <c r="N280">
        <v>11.87</v>
      </c>
      <c r="O280">
        <v>11.96</v>
      </c>
      <c r="P280">
        <v>23.62</v>
      </c>
      <c r="Q280">
        <v>40503024</v>
      </c>
      <c r="R280">
        <v>0.73</v>
      </c>
      <c r="S280" t="s">
        <v>156</v>
      </c>
      <c r="T280" t="s">
        <v>151</v>
      </c>
      <c r="U280">
        <v>2.42</v>
      </c>
      <c r="V280">
        <v>12.02</v>
      </c>
      <c r="W280">
        <v>18814</v>
      </c>
      <c r="X280">
        <v>14873</v>
      </c>
      <c r="Y280">
        <v>1.26</v>
      </c>
      <c r="Z280">
        <v>5</v>
      </c>
      <c r="AA280">
        <v>399</v>
      </c>
      <c r="AB280" t="s">
        <v>31</v>
      </c>
    </row>
    <row r="281" spans="1:28">
      <c r="A281" t="str">
        <f>"600330"</f>
        <v>600330</v>
      </c>
      <c r="B281" t="s">
        <v>424</v>
      </c>
      <c r="C281">
        <v>0.51</v>
      </c>
      <c r="D281">
        <v>5.88</v>
      </c>
      <c r="E281">
        <v>0.03</v>
      </c>
      <c r="F281">
        <v>5.88</v>
      </c>
      <c r="G281">
        <v>5.89</v>
      </c>
      <c r="H281">
        <v>69819</v>
      </c>
      <c r="I281">
        <v>7</v>
      </c>
      <c r="J281">
        <v>-0.33</v>
      </c>
      <c r="K281">
        <v>1.19</v>
      </c>
      <c r="L281">
        <v>5.81</v>
      </c>
      <c r="M281">
        <v>5.94</v>
      </c>
      <c r="N281">
        <v>5.68</v>
      </c>
      <c r="O281">
        <v>5.85</v>
      </c>
      <c r="P281" t="s">
        <v>31</v>
      </c>
      <c r="Q281">
        <v>40713288</v>
      </c>
      <c r="R281">
        <v>0.47</v>
      </c>
      <c r="S281" t="s">
        <v>153</v>
      </c>
      <c r="T281" t="s">
        <v>95</v>
      </c>
      <c r="U281">
        <v>4.4400000000000004</v>
      </c>
      <c r="V281">
        <v>5.83</v>
      </c>
      <c r="W281">
        <v>35488</v>
      </c>
      <c r="X281">
        <v>34331</v>
      </c>
      <c r="Y281">
        <v>1.03</v>
      </c>
      <c r="Z281">
        <v>340</v>
      </c>
      <c r="AA281">
        <v>69</v>
      </c>
      <c r="AB281" t="s">
        <v>31</v>
      </c>
    </row>
    <row r="282" spans="1:28">
      <c r="A282" t="str">
        <f>"600331"</f>
        <v>600331</v>
      </c>
      <c r="B282" t="s">
        <v>425</v>
      </c>
      <c r="C282">
        <v>1.99</v>
      </c>
      <c r="D282">
        <v>4.6100000000000003</v>
      </c>
      <c r="E282">
        <v>0.09</v>
      </c>
      <c r="F282">
        <v>4.5999999999999996</v>
      </c>
      <c r="G282">
        <v>4.6100000000000003</v>
      </c>
      <c r="H282">
        <v>36167</v>
      </c>
      <c r="I282">
        <v>118</v>
      </c>
      <c r="J282">
        <v>-0.21</v>
      </c>
      <c r="K282">
        <v>0.35</v>
      </c>
      <c r="L282">
        <v>4.5199999999999996</v>
      </c>
      <c r="M282">
        <v>4.62</v>
      </c>
      <c r="N282">
        <v>4.5</v>
      </c>
      <c r="O282">
        <v>4.5199999999999996</v>
      </c>
      <c r="P282" t="s">
        <v>31</v>
      </c>
      <c r="Q282">
        <v>16518227</v>
      </c>
      <c r="R282">
        <v>0.54</v>
      </c>
      <c r="S282" t="s">
        <v>426</v>
      </c>
      <c r="T282" t="s">
        <v>88</v>
      </c>
      <c r="U282">
        <v>2.65</v>
      </c>
      <c r="V282">
        <v>4.57</v>
      </c>
      <c r="W282">
        <v>18278</v>
      </c>
      <c r="X282">
        <v>17889</v>
      </c>
      <c r="Y282">
        <v>1.02</v>
      </c>
      <c r="Z282">
        <v>785</v>
      </c>
      <c r="AA282">
        <v>132</v>
      </c>
      <c r="AB282" t="s">
        <v>31</v>
      </c>
    </row>
    <row r="283" spans="1:28">
      <c r="A283" t="str">
        <f>"600332"</f>
        <v>600332</v>
      </c>
      <c r="B283" t="s">
        <v>427</v>
      </c>
      <c r="C283">
        <v>1.87</v>
      </c>
      <c r="D283">
        <v>34.24</v>
      </c>
      <c r="E283">
        <v>0.63</v>
      </c>
      <c r="F283">
        <v>34.229999999999997</v>
      </c>
      <c r="G283">
        <v>34.24</v>
      </c>
      <c r="H283">
        <v>70437</v>
      </c>
      <c r="I283">
        <v>144</v>
      </c>
      <c r="J283">
        <v>0.11</v>
      </c>
      <c r="K283">
        <v>0.68</v>
      </c>
      <c r="L283">
        <v>33.68</v>
      </c>
      <c r="M283">
        <v>34.29</v>
      </c>
      <c r="N283">
        <v>33.21</v>
      </c>
      <c r="O283">
        <v>33.61</v>
      </c>
      <c r="P283">
        <v>37.65</v>
      </c>
      <c r="Q283">
        <v>238729600</v>
      </c>
      <c r="R283">
        <v>0.65</v>
      </c>
      <c r="S283" t="s">
        <v>156</v>
      </c>
      <c r="T283" t="s">
        <v>34</v>
      </c>
      <c r="U283">
        <v>3.21</v>
      </c>
      <c r="V283">
        <v>33.89</v>
      </c>
      <c r="W283">
        <v>31806</v>
      </c>
      <c r="X283">
        <v>38631</v>
      </c>
      <c r="Y283">
        <v>0.82</v>
      </c>
      <c r="Z283">
        <v>161</v>
      </c>
      <c r="AA283">
        <v>58</v>
      </c>
      <c r="AB283" t="s">
        <v>31</v>
      </c>
    </row>
    <row r="284" spans="1:28">
      <c r="A284" t="str">
        <f>"600333"</f>
        <v>600333</v>
      </c>
      <c r="B284" t="s">
        <v>428</v>
      </c>
      <c r="C284">
        <v>2.14</v>
      </c>
      <c r="D284">
        <v>8.59</v>
      </c>
      <c r="E284">
        <v>0.18</v>
      </c>
      <c r="F284">
        <v>8.57</v>
      </c>
      <c r="G284">
        <v>8.58</v>
      </c>
      <c r="H284">
        <v>59032</v>
      </c>
      <c r="I284">
        <v>79</v>
      </c>
      <c r="J284">
        <v>0.11</v>
      </c>
      <c r="K284">
        <v>1.28</v>
      </c>
      <c r="L284">
        <v>8.3699999999999992</v>
      </c>
      <c r="M284">
        <v>8.67</v>
      </c>
      <c r="N284">
        <v>8.17</v>
      </c>
      <c r="O284">
        <v>8.41</v>
      </c>
      <c r="P284">
        <v>491.83</v>
      </c>
      <c r="Q284">
        <v>50261880</v>
      </c>
      <c r="R284">
        <v>1.1200000000000001</v>
      </c>
      <c r="S284" t="s">
        <v>257</v>
      </c>
      <c r="T284" t="s">
        <v>191</v>
      </c>
      <c r="U284">
        <v>5.95</v>
      </c>
      <c r="V284">
        <v>8.51</v>
      </c>
      <c r="W284">
        <v>27333</v>
      </c>
      <c r="X284">
        <v>31699</v>
      </c>
      <c r="Y284">
        <v>0.86</v>
      </c>
      <c r="Z284">
        <v>91</v>
      </c>
      <c r="AA284">
        <v>14</v>
      </c>
      <c r="AB284" t="s">
        <v>31</v>
      </c>
    </row>
    <row r="285" spans="1:28">
      <c r="A285" t="str">
        <f>"600335"</f>
        <v>600335</v>
      </c>
      <c r="B285" t="s">
        <v>429</v>
      </c>
      <c r="C285">
        <v>1.1200000000000001</v>
      </c>
      <c r="D285">
        <v>17.21</v>
      </c>
      <c r="E285">
        <v>0.19</v>
      </c>
      <c r="F285">
        <v>17.23</v>
      </c>
      <c r="G285">
        <v>17.239999999999998</v>
      </c>
      <c r="H285">
        <v>45525</v>
      </c>
      <c r="I285">
        <v>24</v>
      </c>
      <c r="J285">
        <v>0.23</v>
      </c>
      <c r="K285">
        <v>1.65</v>
      </c>
      <c r="L285">
        <v>16.98</v>
      </c>
      <c r="M285">
        <v>17.45</v>
      </c>
      <c r="N285">
        <v>16.55</v>
      </c>
      <c r="O285">
        <v>17.02</v>
      </c>
      <c r="P285">
        <v>12.52</v>
      </c>
      <c r="Q285">
        <v>78040976</v>
      </c>
      <c r="R285">
        <v>0.77</v>
      </c>
      <c r="S285" t="s">
        <v>149</v>
      </c>
      <c r="T285" t="s">
        <v>151</v>
      </c>
      <c r="U285">
        <v>5.29</v>
      </c>
      <c r="V285">
        <v>17.14</v>
      </c>
      <c r="W285">
        <v>20743</v>
      </c>
      <c r="X285">
        <v>24782</v>
      </c>
      <c r="Y285">
        <v>0.84</v>
      </c>
      <c r="Z285">
        <v>41</v>
      </c>
      <c r="AA285">
        <v>13</v>
      </c>
      <c r="AB285" t="s">
        <v>31</v>
      </c>
    </row>
    <row r="286" spans="1:28">
      <c r="A286" t="str">
        <f>"600336"</f>
        <v>600336</v>
      </c>
      <c r="B286" t="s">
        <v>430</v>
      </c>
      <c r="C286">
        <v>0</v>
      </c>
      <c r="D286">
        <v>6.17</v>
      </c>
      <c r="E286">
        <v>0</v>
      </c>
      <c r="F286" t="s">
        <v>31</v>
      </c>
      <c r="G286" t="s">
        <v>31</v>
      </c>
      <c r="H286">
        <v>0</v>
      </c>
      <c r="I286">
        <v>0</v>
      </c>
      <c r="J286">
        <v>0</v>
      </c>
      <c r="K286">
        <v>0</v>
      </c>
      <c r="L286" t="s">
        <v>31</v>
      </c>
      <c r="M286" t="s">
        <v>31</v>
      </c>
      <c r="N286" t="s">
        <v>31</v>
      </c>
      <c r="O286">
        <v>6.17</v>
      </c>
      <c r="P286">
        <v>14.51</v>
      </c>
      <c r="Q286">
        <v>0</v>
      </c>
      <c r="R286">
        <v>0</v>
      </c>
      <c r="S286" t="s">
        <v>113</v>
      </c>
      <c r="T286" t="s">
        <v>57</v>
      </c>
      <c r="U286">
        <v>0</v>
      </c>
      <c r="V286">
        <v>6.17</v>
      </c>
      <c r="W286">
        <v>0</v>
      </c>
      <c r="X286">
        <v>0</v>
      </c>
      <c r="Y286" t="s">
        <v>31</v>
      </c>
      <c r="Z286">
        <v>0</v>
      </c>
      <c r="AA286">
        <v>0</v>
      </c>
      <c r="AB286" t="s">
        <v>31</v>
      </c>
    </row>
    <row r="287" spans="1:28">
      <c r="A287" t="str">
        <f>"600337"</f>
        <v>600337</v>
      </c>
      <c r="B287" t="s">
        <v>431</v>
      </c>
      <c r="C287">
        <v>10.06</v>
      </c>
      <c r="D287">
        <v>7.11</v>
      </c>
      <c r="E287">
        <v>0.65</v>
      </c>
      <c r="F287">
        <v>7.11</v>
      </c>
      <c r="G287" t="s">
        <v>31</v>
      </c>
      <c r="H287">
        <v>259575</v>
      </c>
      <c r="I287">
        <v>30</v>
      </c>
      <c r="J287">
        <v>0</v>
      </c>
      <c r="K287">
        <v>4.43</v>
      </c>
      <c r="L287">
        <v>6.7</v>
      </c>
      <c r="M287">
        <v>7.11</v>
      </c>
      <c r="N287">
        <v>6.48</v>
      </c>
      <c r="O287">
        <v>6.46</v>
      </c>
      <c r="P287">
        <v>32.479999999999997</v>
      </c>
      <c r="Q287">
        <v>181213136</v>
      </c>
      <c r="R287">
        <v>3.92</v>
      </c>
      <c r="S287" t="s">
        <v>432</v>
      </c>
      <c r="T287" t="s">
        <v>138</v>
      </c>
      <c r="U287">
        <v>9.75</v>
      </c>
      <c r="V287">
        <v>6.98</v>
      </c>
      <c r="W287">
        <v>120556</v>
      </c>
      <c r="X287">
        <v>139019</v>
      </c>
      <c r="Y287">
        <v>0.87</v>
      </c>
      <c r="Z287">
        <v>230417</v>
      </c>
      <c r="AA287">
        <v>0</v>
      </c>
      <c r="AB287" t="s">
        <v>31</v>
      </c>
    </row>
    <row r="288" spans="1:28">
      <c r="A288" t="str">
        <f>"600338"</f>
        <v>600338</v>
      </c>
      <c r="B288" t="s">
        <v>433</v>
      </c>
      <c r="C288">
        <v>3.7</v>
      </c>
      <c r="D288">
        <v>9.25</v>
      </c>
      <c r="E288">
        <v>0.33</v>
      </c>
      <c r="F288">
        <v>9.26</v>
      </c>
      <c r="G288">
        <v>9.27</v>
      </c>
      <c r="H288">
        <v>250222</v>
      </c>
      <c r="I288">
        <v>9</v>
      </c>
      <c r="J288">
        <v>0.1</v>
      </c>
      <c r="K288">
        <v>15.8</v>
      </c>
      <c r="L288">
        <v>9.66</v>
      </c>
      <c r="M288">
        <v>9.81</v>
      </c>
      <c r="N288">
        <v>9.15</v>
      </c>
      <c r="O288">
        <v>8.92</v>
      </c>
      <c r="P288">
        <v>43.82</v>
      </c>
      <c r="Q288">
        <v>239254864</v>
      </c>
      <c r="R288">
        <v>7</v>
      </c>
      <c r="S288" t="s">
        <v>426</v>
      </c>
      <c r="T288" t="s">
        <v>306</v>
      </c>
      <c r="U288">
        <v>7.4</v>
      </c>
      <c r="V288">
        <v>9.56</v>
      </c>
      <c r="W288">
        <v>140319</v>
      </c>
      <c r="X288">
        <v>109903</v>
      </c>
      <c r="Y288">
        <v>1.28</v>
      </c>
      <c r="Z288">
        <v>64</v>
      </c>
      <c r="AA288">
        <v>166</v>
      </c>
      <c r="AB288" t="s">
        <v>31</v>
      </c>
    </row>
    <row r="289" spans="1:28">
      <c r="A289" t="str">
        <f>"600339"</f>
        <v>600339</v>
      </c>
      <c r="B289" t="s">
        <v>434</v>
      </c>
      <c r="C289">
        <v>9.98</v>
      </c>
      <c r="D289">
        <v>4.5199999999999996</v>
      </c>
      <c r="E289">
        <v>0.41</v>
      </c>
      <c r="F289">
        <v>4.5199999999999996</v>
      </c>
      <c r="G289" t="s">
        <v>31</v>
      </c>
      <c r="H289">
        <v>305724</v>
      </c>
      <c r="I289">
        <v>27</v>
      </c>
      <c r="J289">
        <v>0</v>
      </c>
      <c r="K289">
        <v>5.29</v>
      </c>
      <c r="L289">
        <v>4.13</v>
      </c>
      <c r="M289">
        <v>4.5199999999999996</v>
      </c>
      <c r="N289">
        <v>4.13</v>
      </c>
      <c r="O289">
        <v>4.1100000000000003</v>
      </c>
      <c r="P289" t="s">
        <v>31</v>
      </c>
      <c r="Q289">
        <v>135340512</v>
      </c>
      <c r="R289">
        <v>2.99</v>
      </c>
      <c r="S289" t="s">
        <v>68</v>
      </c>
      <c r="T289" t="s">
        <v>138</v>
      </c>
      <c r="U289">
        <v>9.49</v>
      </c>
      <c r="V289">
        <v>4.43</v>
      </c>
      <c r="W289">
        <v>220751</v>
      </c>
      <c r="X289">
        <v>84973</v>
      </c>
      <c r="Y289">
        <v>2.6</v>
      </c>
      <c r="Z289">
        <v>63184</v>
      </c>
      <c r="AA289">
        <v>0</v>
      </c>
      <c r="AB289" t="s">
        <v>31</v>
      </c>
    </row>
    <row r="290" spans="1:28">
      <c r="A290" t="str">
        <f>"600340"</f>
        <v>600340</v>
      </c>
      <c r="B290" t="s">
        <v>435</v>
      </c>
      <c r="C290">
        <v>-0.65</v>
      </c>
      <c r="D290">
        <v>22.93</v>
      </c>
      <c r="E290">
        <v>-0.15</v>
      </c>
      <c r="F290">
        <v>22.92</v>
      </c>
      <c r="G290">
        <v>22.93</v>
      </c>
      <c r="H290">
        <v>26074</v>
      </c>
      <c r="I290">
        <v>10</v>
      </c>
      <c r="J290">
        <v>0.08</v>
      </c>
      <c r="K290">
        <v>0.5</v>
      </c>
      <c r="L290">
        <v>23.16</v>
      </c>
      <c r="M290">
        <v>23.2</v>
      </c>
      <c r="N290">
        <v>22.41</v>
      </c>
      <c r="O290">
        <v>23.08</v>
      </c>
      <c r="P290">
        <v>8.57</v>
      </c>
      <c r="Q290">
        <v>59586812</v>
      </c>
      <c r="R290">
        <v>0.54</v>
      </c>
      <c r="S290" t="s">
        <v>97</v>
      </c>
      <c r="T290" t="s">
        <v>224</v>
      </c>
      <c r="U290">
        <v>3.42</v>
      </c>
      <c r="V290">
        <v>22.85</v>
      </c>
      <c r="W290">
        <v>15305</v>
      </c>
      <c r="X290">
        <v>10769</v>
      </c>
      <c r="Y290">
        <v>1.42</v>
      </c>
      <c r="Z290">
        <v>114</v>
      </c>
      <c r="AA290">
        <v>30</v>
      </c>
      <c r="AB290" t="s">
        <v>31</v>
      </c>
    </row>
    <row r="291" spans="1:28">
      <c r="A291" t="str">
        <f>"600343"</f>
        <v>600343</v>
      </c>
      <c r="B291" t="s">
        <v>436</v>
      </c>
      <c r="C291">
        <v>2.04</v>
      </c>
      <c r="D291">
        <v>11.51</v>
      </c>
      <c r="E291">
        <v>0.23</v>
      </c>
      <c r="F291">
        <v>11.5</v>
      </c>
      <c r="G291">
        <v>11.51</v>
      </c>
      <c r="H291">
        <v>24744</v>
      </c>
      <c r="I291">
        <v>20</v>
      </c>
      <c r="J291">
        <v>0</v>
      </c>
      <c r="K291">
        <v>1.03</v>
      </c>
      <c r="L291">
        <v>11.29</v>
      </c>
      <c r="M291">
        <v>11.56</v>
      </c>
      <c r="N291">
        <v>11.1</v>
      </c>
      <c r="O291">
        <v>11.28</v>
      </c>
      <c r="P291">
        <v>94.92</v>
      </c>
      <c r="Q291">
        <v>28083896</v>
      </c>
      <c r="R291">
        <v>1.04</v>
      </c>
      <c r="S291" t="s">
        <v>84</v>
      </c>
      <c r="T291" t="s">
        <v>147</v>
      </c>
      <c r="U291">
        <v>4.08</v>
      </c>
      <c r="V291">
        <v>11.35</v>
      </c>
      <c r="W291">
        <v>12716</v>
      </c>
      <c r="X291">
        <v>12028</v>
      </c>
      <c r="Y291">
        <v>1.06</v>
      </c>
      <c r="Z291">
        <v>17</v>
      </c>
      <c r="AA291">
        <v>3</v>
      </c>
      <c r="AB291" t="s">
        <v>31</v>
      </c>
    </row>
    <row r="292" spans="1:28">
      <c r="A292" t="str">
        <f>"600345"</f>
        <v>600345</v>
      </c>
      <c r="B292" t="s">
        <v>437</v>
      </c>
      <c r="C292">
        <v>0</v>
      </c>
      <c r="D292">
        <v>14.27</v>
      </c>
      <c r="E292">
        <v>0</v>
      </c>
      <c r="F292">
        <v>14.23</v>
      </c>
      <c r="G292">
        <v>14.27</v>
      </c>
      <c r="H292">
        <v>17878</v>
      </c>
      <c r="I292">
        <v>80</v>
      </c>
      <c r="J292">
        <v>7.0000000000000007E-2</v>
      </c>
      <c r="K292">
        <v>0.9</v>
      </c>
      <c r="L292">
        <v>14.13</v>
      </c>
      <c r="M292">
        <v>14.3</v>
      </c>
      <c r="N292">
        <v>13.94</v>
      </c>
      <c r="O292">
        <v>14.27</v>
      </c>
      <c r="P292">
        <v>614.6</v>
      </c>
      <c r="Q292">
        <v>25301716</v>
      </c>
      <c r="R292">
        <v>0.5</v>
      </c>
      <c r="S292" t="s">
        <v>140</v>
      </c>
      <c r="T292" t="s">
        <v>37</v>
      </c>
      <c r="U292">
        <v>2.52</v>
      </c>
      <c r="V292">
        <v>14.15</v>
      </c>
      <c r="W292">
        <v>9232</v>
      </c>
      <c r="X292">
        <v>8646</v>
      </c>
      <c r="Y292">
        <v>1.07</v>
      </c>
      <c r="Z292">
        <v>82</v>
      </c>
      <c r="AA292">
        <v>326</v>
      </c>
      <c r="AB292" t="s">
        <v>31</v>
      </c>
    </row>
    <row r="293" spans="1:28">
      <c r="A293" t="str">
        <f>"600346"</f>
        <v>600346</v>
      </c>
      <c r="B293" t="s">
        <v>438</v>
      </c>
      <c r="C293">
        <v>0.68</v>
      </c>
      <c r="D293">
        <v>5.94</v>
      </c>
      <c r="E293">
        <v>0.04</v>
      </c>
      <c r="F293">
        <v>5.94</v>
      </c>
      <c r="G293">
        <v>5.95</v>
      </c>
      <c r="H293">
        <v>8223</v>
      </c>
      <c r="I293">
        <v>10</v>
      </c>
      <c r="J293">
        <v>0.33</v>
      </c>
      <c r="K293">
        <v>0.39</v>
      </c>
      <c r="L293">
        <v>5.87</v>
      </c>
      <c r="M293">
        <v>5.94</v>
      </c>
      <c r="N293">
        <v>5.85</v>
      </c>
      <c r="O293">
        <v>5.9</v>
      </c>
      <c r="P293">
        <v>154.16999999999999</v>
      </c>
      <c r="Q293">
        <v>4848297</v>
      </c>
      <c r="R293">
        <v>0.62</v>
      </c>
      <c r="S293" t="s">
        <v>439</v>
      </c>
      <c r="T293" t="s">
        <v>142</v>
      </c>
      <c r="U293">
        <v>1.53</v>
      </c>
      <c r="V293">
        <v>5.9</v>
      </c>
      <c r="W293">
        <v>4018</v>
      </c>
      <c r="X293">
        <v>4205</v>
      </c>
      <c r="Y293">
        <v>0.96</v>
      </c>
      <c r="Z293">
        <v>41</v>
      </c>
      <c r="AA293">
        <v>126</v>
      </c>
      <c r="AB293" t="s">
        <v>31</v>
      </c>
    </row>
    <row r="294" spans="1:28">
      <c r="A294" t="str">
        <f>"600348"</f>
        <v>600348</v>
      </c>
      <c r="B294" t="s">
        <v>440</v>
      </c>
      <c r="C294">
        <v>1.1000000000000001</v>
      </c>
      <c r="D294">
        <v>8.26</v>
      </c>
      <c r="E294">
        <v>0.09</v>
      </c>
      <c r="F294">
        <v>8.25</v>
      </c>
      <c r="G294">
        <v>8.26</v>
      </c>
      <c r="H294">
        <v>75047</v>
      </c>
      <c r="I294">
        <v>9</v>
      </c>
      <c r="J294">
        <v>0</v>
      </c>
      <c r="K294">
        <v>0.31</v>
      </c>
      <c r="L294">
        <v>8.18</v>
      </c>
      <c r="M294">
        <v>8.3699999999999992</v>
      </c>
      <c r="N294">
        <v>8.17</v>
      </c>
      <c r="O294">
        <v>8.17</v>
      </c>
      <c r="P294">
        <v>19.63</v>
      </c>
      <c r="Q294">
        <v>61865632</v>
      </c>
      <c r="R294">
        <v>0.61</v>
      </c>
      <c r="S294" t="s">
        <v>208</v>
      </c>
      <c r="T294" t="s">
        <v>212</v>
      </c>
      <c r="U294">
        <v>2.4500000000000002</v>
      </c>
      <c r="V294">
        <v>8.24</v>
      </c>
      <c r="W294">
        <v>40413</v>
      </c>
      <c r="X294">
        <v>34634</v>
      </c>
      <c r="Y294">
        <v>1.17</v>
      </c>
      <c r="Z294">
        <v>984</v>
      </c>
      <c r="AA294">
        <v>47</v>
      </c>
      <c r="AB294" t="s">
        <v>31</v>
      </c>
    </row>
    <row r="295" spans="1:28">
      <c r="A295" t="str">
        <f>"600350"</f>
        <v>600350</v>
      </c>
      <c r="B295" t="s">
        <v>441</v>
      </c>
      <c r="C295">
        <v>1.66</v>
      </c>
      <c r="D295">
        <v>3.07</v>
      </c>
      <c r="E295">
        <v>0.05</v>
      </c>
      <c r="F295">
        <v>3.07</v>
      </c>
      <c r="G295">
        <v>3.08</v>
      </c>
      <c r="H295">
        <v>50862</v>
      </c>
      <c r="I295">
        <v>100</v>
      </c>
      <c r="J295">
        <v>-0.32</v>
      </c>
      <c r="K295">
        <v>0.15</v>
      </c>
      <c r="L295">
        <v>3.03</v>
      </c>
      <c r="M295">
        <v>3.09</v>
      </c>
      <c r="N295">
        <v>2.99</v>
      </c>
      <c r="O295">
        <v>3.02</v>
      </c>
      <c r="P295">
        <v>6.81</v>
      </c>
      <c r="Q295">
        <v>15512742</v>
      </c>
      <c r="R295">
        <v>1.2</v>
      </c>
      <c r="S295" t="s">
        <v>51</v>
      </c>
      <c r="T295" t="s">
        <v>57</v>
      </c>
      <c r="U295">
        <v>3.31</v>
      </c>
      <c r="V295">
        <v>3.05</v>
      </c>
      <c r="W295">
        <v>17274</v>
      </c>
      <c r="X295">
        <v>33588</v>
      </c>
      <c r="Y295">
        <v>0.51</v>
      </c>
      <c r="Z295">
        <v>632</v>
      </c>
      <c r="AA295">
        <v>967</v>
      </c>
      <c r="AB295" t="s">
        <v>31</v>
      </c>
    </row>
    <row r="296" spans="1:28">
      <c r="A296" t="str">
        <f>"600351"</f>
        <v>600351</v>
      </c>
      <c r="B296" t="s">
        <v>442</v>
      </c>
      <c r="C296">
        <v>1.3</v>
      </c>
      <c r="D296">
        <v>6.23</v>
      </c>
      <c r="E296">
        <v>0.08</v>
      </c>
      <c r="F296">
        <v>6.22</v>
      </c>
      <c r="G296">
        <v>6.23</v>
      </c>
      <c r="H296">
        <v>29707</v>
      </c>
      <c r="I296">
        <v>20</v>
      </c>
      <c r="J296">
        <v>0.16</v>
      </c>
      <c r="K296">
        <v>0.47</v>
      </c>
      <c r="L296">
        <v>6.16</v>
      </c>
      <c r="M296">
        <v>6.24</v>
      </c>
      <c r="N296">
        <v>6.14</v>
      </c>
      <c r="O296">
        <v>6.15</v>
      </c>
      <c r="P296">
        <v>30.61</v>
      </c>
      <c r="Q296">
        <v>18433396</v>
      </c>
      <c r="R296">
        <v>0.56999999999999995</v>
      </c>
      <c r="S296" t="s">
        <v>156</v>
      </c>
      <c r="T296" t="s">
        <v>212</v>
      </c>
      <c r="U296">
        <v>1.63</v>
      </c>
      <c r="V296">
        <v>6.2</v>
      </c>
      <c r="W296">
        <v>15576</v>
      </c>
      <c r="X296">
        <v>14131</v>
      </c>
      <c r="Y296">
        <v>1.1000000000000001</v>
      </c>
      <c r="Z296">
        <v>181</v>
      </c>
      <c r="AA296">
        <v>423</v>
      </c>
      <c r="AB296" t="s">
        <v>31</v>
      </c>
    </row>
    <row r="297" spans="1:28">
      <c r="A297" t="str">
        <f>"600352"</f>
        <v>600352</v>
      </c>
      <c r="B297" t="s">
        <v>443</v>
      </c>
      <c r="C297">
        <v>2.5099999999999998</v>
      </c>
      <c r="D297">
        <v>11.85</v>
      </c>
      <c r="E297">
        <v>0.28999999999999998</v>
      </c>
      <c r="F297">
        <v>11.85</v>
      </c>
      <c r="G297">
        <v>11.86</v>
      </c>
      <c r="H297">
        <v>101049</v>
      </c>
      <c r="I297">
        <v>17</v>
      </c>
      <c r="J297">
        <v>0.25</v>
      </c>
      <c r="K297">
        <v>0.68</v>
      </c>
      <c r="L297">
        <v>11.5</v>
      </c>
      <c r="M297">
        <v>11.86</v>
      </c>
      <c r="N297">
        <v>11.39</v>
      </c>
      <c r="O297">
        <v>11.56</v>
      </c>
      <c r="P297">
        <v>14.54</v>
      </c>
      <c r="Q297">
        <v>117574376</v>
      </c>
      <c r="R297">
        <v>0.72</v>
      </c>
      <c r="S297" t="s">
        <v>444</v>
      </c>
      <c r="T297" t="s">
        <v>95</v>
      </c>
      <c r="U297">
        <v>4.07</v>
      </c>
      <c r="V297">
        <v>11.64</v>
      </c>
      <c r="W297">
        <v>38456</v>
      </c>
      <c r="X297">
        <v>62593</v>
      </c>
      <c r="Y297">
        <v>0.61</v>
      </c>
      <c r="Z297">
        <v>65</v>
      </c>
      <c r="AA297">
        <v>384</v>
      </c>
      <c r="AB297" t="s">
        <v>31</v>
      </c>
    </row>
    <row r="298" spans="1:28">
      <c r="A298" t="str">
        <f>"600353"</f>
        <v>600353</v>
      </c>
      <c r="B298" t="s">
        <v>445</v>
      </c>
      <c r="C298">
        <v>1.52</v>
      </c>
      <c r="D298">
        <v>6</v>
      </c>
      <c r="E298">
        <v>0.09</v>
      </c>
      <c r="F298">
        <v>5.99</v>
      </c>
      <c r="G298">
        <v>6</v>
      </c>
      <c r="H298">
        <v>19835</v>
      </c>
      <c r="I298">
        <v>20</v>
      </c>
      <c r="J298">
        <v>0</v>
      </c>
      <c r="K298">
        <v>0.77</v>
      </c>
      <c r="L298">
        <v>5.91</v>
      </c>
      <c r="M298">
        <v>6</v>
      </c>
      <c r="N298">
        <v>5.84</v>
      </c>
      <c r="O298">
        <v>5.91</v>
      </c>
      <c r="P298">
        <v>11.93</v>
      </c>
      <c r="Q298">
        <v>11765798</v>
      </c>
      <c r="R298">
        <v>0.67</v>
      </c>
      <c r="S298" t="s">
        <v>153</v>
      </c>
      <c r="T298" t="s">
        <v>88</v>
      </c>
      <c r="U298">
        <v>2.71</v>
      </c>
      <c r="V298">
        <v>5.93</v>
      </c>
      <c r="W298">
        <v>9548</v>
      </c>
      <c r="X298">
        <v>10287</v>
      </c>
      <c r="Y298">
        <v>0.93</v>
      </c>
      <c r="Z298">
        <v>251</v>
      </c>
      <c r="AA298">
        <v>683</v>
      </c>
      <c r="AB298" t="s">
        <v>31</v>
      </c>
    </row>
    <row r="299" spans="1:28">
      <c r="A299" t="str">
        <f>"600354"</f>
        <v>600354</v>
      </c>
      <c r="B299" t="s">
        <v>446</v>
      </c>
      <c r="C299">
        <v>1.79</v>
      </c>
      <c r="D299">
        <v>6.27</v>
      </c>
      <c r="E299">
        <v>0.11</v>
      </c>
      <c r="F299">
        <v>6.26</v>
      </c>
      <c r="G299">
        <v>6.27</v>
      </c>
      <c r="H299">
        <v>107098</v>
      </c>
      <c r="I299">
        <v>10</v>
      </c>
      <c r="J299">
        <v>0.15</v>
      </c>
      <c r="K299">
        <v>2.4500000000000002</v>
      </c>
      <c r="L299">
        <v>6.19</v>
      </c>
      <c r="M299">
        <v>6.37</v>
      </c>
      <c r="N299">
        <v>6.1</v>
      </c>
      <c r="O299">
        <v>6.16</v>
      </c>
      <c r="P299" t="s">
        <v>31</v>
      </c>
      <c r="Q299">
        <v>67101068</v>
      </c>
      <c r="R299">
        <v>1.1200000000000001</v>
      </c>
      <c r="S299" t="s">
        <v>408</v>
      </c>
      <c r="T299" t="s">
        <v>188</v>
      </c>
      <c r="U299">
        <v>4.38</v>
      </c>
      <c r="V299">
        <v>6.27</v>
      </c>
      <c r="W299">
        <v>53359</v>
      </c>
      <c r="X299">
        <v>53739</v>
      </c>
      <c r="Y299">
        <v>0.99</v>
      </c>
      <c r="Z299">
        <v>337</v>
      </c>
      <c r="AA299">
        <v>531</v>
      </c>
      <c r="AB299" t="s">
        <v>31</v>
      </c>
    </row>
    <row r="300" spans="1:28">
      <c r="A300" t="str">
        <f>"600355"</f>
        <v>600355</v>
      </c>
      <c r="B300" t="s">
        <v>447</v>
      </c>
      <c r="C300">
        <v>-1.6</v>
      </c>
      <c r="D300">
        <v>5.53</v>
      </c>
      <c r="E300">
        <v>-0.09</v>
      </c>
      <c r="F300">
        <v>5.52</v>
      </c>
      <c r="G300">
        <v>5.53</v>
      </c>
      <c r="H300">
        <v>65504</v>
      </c>
      <c r="I300">
        <v>80</v>
      </c>
      <c r="J300">
        <v>0</v>
      </c>
      <c r="K300">
        <v>2.66</v>
      </c>
      <c r="L300">
        <v>5.53</v>
      </c>
      <c r="M300">
        <v>5.61</v>
      </c>
      <c r="N300">
        <v>5.37</v>
      </c>
      <c r="O300">
        <v>5.62</v>
      </c>
      <c r="P300" t="s">
        <v>31</v>
      </c>
      <c r="Q300">
        <v>35859000</v>
      </c>
      <c r="R300">
        <v>0.96</v>
      </c>
      <c r="S300" t="s">
        <v>153</v>
      </c>
      <c r="T300" t="s">
        <v>37</v>
      </c>
      <c r="U300">
        <v>4.2699999999999996</v>
      </c>
      <c r="V300">
        <v>5.47</v>
      </c>
      <c r="W300">
        <v>37581</v>
      </c>
      <c r="X300">
        <v>27923</v>
      </c>
      <c r="Y300">
        <v>1.35</v>
      </c>
      <c r="Z300">
        <v>5</v>
      </c>
      <c r="AA300">
        <v>416</v>
      </c>
      <c r="AB300" t="s">
        <v>31</v>
      </c>
    </row>
    <row r="301" spans="1:28">
      <c r="A301" t="str">
        <f>"600356"</f>
        <v>600356</v>
      </c>
      <c r="B301" t="s">
        <v>448</v>
      </c>
      <c r="C301">
        <v>0</v>
      </c>
      <c r="D301">
        <v>5.5</v>
      </c>
      <c r="E301">
        <v>0</v>
      </c>
      <c r="F301">
        <v>5.5</v>
      </c>
      <c r="G301">
        <v>5.51</v>
      </c>
      <c r="H301">
        <v>27885</v>
      </c>
      <c r="I301">
        <v>5</v>
      </c>
      <c r="J301">
        <v>0.18</v>
      </c>
      <c r="K301">
        <v>1.1100000000000001</v>
      </c>
      <c r="L301">
        <v>5.42</v>
      </c>
      <c r="M301">
        <v>5.52</v>
      </c>
      <c r="N301">
        <v>5.38</v>
      </c>
      <c r="O301">
        <v>5.5</v>
      </c>
      <c r="P301">
        <v>25.31</v>
      </c>
      <c r="Q301">
        <v>15167585</v>
      </c>
      <c r="R301">
        <v>1.68</v>
      </c>
      <c r="S301" t="s">
        <v>125</v>
      </c>
      <c r="T301" t="s">
        <v>85</v>
      </c>
      <c r="U301">
        <v>2.5499999999999998</v>
      </c>
      <c r="V301">
        <v>5.44</v>
      </c>
      <c r="W301">
        <v>19545</v>
      </c>
      <c r="X301">
        <v>8340</v>
      </c>
      <c r="Y301">
        <v>2.34</v>
      </c>
      <c r="Z301">
        <v>44</v>
      </c>
      <c r="AA301">
        <v>203</v>
      </c>
      <c r="AB301" t="s">
        <v>31</v>
      </c>
    </row>
    <row r="302" spans="1:28">
      <c r="A302" t="str">
        <f>"600358"</f>
        <v>600358</v>
      </c>
      <c r="B302" t="s">
        <v>449</v>
      </c>
      <c r="C302">
        <v>0</v>
      </c>
      <c r="D302">
        <v>4.7300000000000004</v>
      </c>
      <c r="E302">
        <v>0</v>
      </c>
      <c r="F302" t="s">
        <v>31</v>
      </c>
      <c r="G302" t="s">
        <v>31</v>
      </c>
      <c r="H302">
        <v>0</v>
      </c>
      <c r="I302">
        <v>0</v>
      </c>
      <c r="J302">
        <v>0</v>
      </c>
      <c r="K302">
        <v>0</v>
      </c>
      <c r="L302" t="s">
        <v>31</v>
      </c>
      <c r="M302" t="s">
        <v>31</v>
      </c>
      <c r="N302" t="s">
        <v>31</v>
      </c>
      <c r="O302">
        <v>4.7300000000000004</v>
      </c>
      <c r="P302" t="s">
        <v>31</v>
      </c>
      <c r="Q302">
        <v>0</v>
      </c>
      <c r="R302">
        <v>0</v>
      </c>
      <c r="S302" t="s">
        <v>228</v>
      </c>
      <c r="T302" t="s">
        <v>120</v>
      </c>
      <c r="U302">
        <v>0</v>
      </c>
      <c r="V302">
        <v>4.7300000000000004</v>
      </c>
      <c r="W302">
        <v>0</v>
      </c>
      <c r="X302">
        <v>0</v>
      </c>
      <c r="Y302" t="s">
        <v>31</v>
      </c>
      <c r="Z302">
        <v>0</v>
      </c>
      <c r="AA302">
        <v>0</v>
      </c>
      <c r="AB302" t="s">
        <v>31</v>
      </c>
    </row>
    <row r="303" spans="1:28">
      <c r="A303" t="str">
        <f>"600359"</f>
        <v>600359</v>
      </c>
      <c r="B303" t="s">
        <v>450</v>
      </c>
      <c r="C303">
        <v>0.43</v>
      </c>
      <c r="D303">
        <v>9.4499999999999993</v>
      </c>
      <c r="E303">
        <v>0.04</v>
      </c>
      <c r="F303">
        <v>9.4499999999999993</v>
      </c>
      <c r="G303">
        <v>9.4600000000000009</v>
      </c>
      <c r="H303">
        <v>202302</v>
      </c>
      <c r="I303">
        <v>7</v>
      </c>
      <c r="J303">
        <v>0.31</v>
      </c>
      <c r="K303">
        <v>6.3</v>
      </c>
      <c r="L303">
        <v>9.1</v>
      </c>
      <c r="M303">
        <v>9.89</v>
      </c>
      <c r="N303">
        <v>9.02</v>
      </c>
      <c r="O303">
        <v>9.41</v>
      </c>
      <c r="P303">
        <v>149.02000000000001</v>
      </c>
      <c r="Q303">
        <v>193394944</v>
      </c>
      <c r="R303">
        <v>1.77</v>
      </c>
      <c r="S303" t="s">
        <v>187</v>
      </c>
      <c r="T303" t="s">
        <v>138</v>
      </c>
      <c r="U303">
        <v>9.25</v>
      </c>
      <c r="V303">
        <v>9.56</v>
      </c>
      <c r="W303">
        <v>95779</v>
      </c>
      <c r="X303">
        <v>106523</v>
      </c>
      <c r="Y303">
        <v>0.9</v>
      </c>
      <c r="Z303">
        <v>553</v>
      </c>
      <c r="AA303">
        <v>794</v>
      </c>
      <c r="AB303" t="s">
        <v>31</v>
      </c>
    </row>
    <row r="304" spans="1:28">
      <c r="A304" t="str">
        <f>"600360"</f>
        <v>600360</v>
      </c>
      <c r="B304" t="s">
        <v>451</v>
      </c>
      <c r="C304">
        <v>1.56</v>
      </c>
      <c r="D304">
        <v>3.9</v>
      </c>
      <c r="E304">
        <v>0.06</v>
      </c>
      <c r="F304">
        <v>3.89</v>
      </c>
      <c r="G304">
        <v>3.9</v>
      </c>
      <c r="H304">
        <v>31746</v>
      </c>
      <c r="I304">
        <v>8</v>
      </c>
      <c r="J304">
        <v>0.25</v>
      </c>
      <c r="K304">
        <v>0.47</v>
      </c>
      <c r="L304">
        <v>3.82</v>
      </c>
      <c r="M304">
        <v>3.9</v>
      </c>
      <c r="N304">
        <v>3.8</v>
      </c>
      <c r="O304">
        <v>3.84</v>
      </c>
      <c r="P304">
        <v>50.95</v>
      </c>
      <c r="Q304">
        <v>12243240</v>
      </c>
      <c r="R304">
        <v>0.56999999999999995</v>
      </c>
      <c r="S304" t="s">
        <v>241</v>
      </c>
      <c r="T304" t="s">
        <v>191</v>
      </c>
      <c r="U304">
        <v>2.6</v>
      </c>
      <c r="V304">
        <v>3.86</v>
      </c>
      <c r="W304">
        <v>15874</v>
      </c>
      <c r="X304">
        <v>15872</v>
      </c>
      <c r="Y304">
        <v>1</v>
      </c>
      <c r="Z304">
        <v>503</v>
      </c>
      <c r="AA304">
        <v>2071</v>
      </c>
      <c r="AB304" t="s">
        <v>31</v>
      </c>
    </row>
    <row r="305" spans="1:28">
      <c r="A305" t="str">
        <f>"600361"</f>
        <v>600361</v>
      </c>
      <c r="B305" t="s">
        <v>452</v>
      </c>
      <c r="C305">
        <v>0.22</v>
      </c>
      <c r="D305">
        <v>4.5199999999999996</v>
      </c>
      <c r="E305">
        <v>0.01</v>
      </c>
      <c r="F305">
        <v>4.5199999999999996</v>
      </c>
      <c r="G305">
        <v>4.53</v>
      </c>
      <c r="H305">
        <v>30913</v>
      </c>
      <c r="I305">
        <v>40</v>
      </c>
      <c r="J305">
        <v>-0.22</v>
      </c>
      <c r="K305">
        <v>0.64</v>
      </c>
      <c r="L305">
        <v>4.5199999999999996</v>
      </c>
      <c r="M305">
        <v>4.54</v>
      </c>
      <c r="N305">
        <v>4.46</v>
      </c>
      <c r="O305">
        <v>4.51</v>
      </c>
      <c r="P305">
        <v>56.55</v>
      </c>
      <c r="Q305">
        <v>13935119</v>
      </c>
      <c r="R305">
        <v>0.64</v>
      </c>
      <c r="S305" t="s">
        <v>453</v>
      </c>
      <c r="T305" t="s">
        <v>42</v>
      </c>
      <c r="U305">
        <v>1.77</v>
      </c>
      <c r="V305">
        <v>4.51</v>
      </c>
      <c r="W305">
        <v>17364</v>
      </c>
      <c r="X305">
        <v>13549</v>
      </c>
      <c r="Y305">
        <v>1.28</v>
      </c>
      <c r="Z305">
        <v>265</v>
      </c>
      <c r="AA305">
        <v>81</v>
      </c>
      <c r="AB305" t="s">
        <v>31</v>
      </c>
    </row>
    <row r="306" spans="1:28">
      <c r="A306" t="str">
        <f>"600362"</f>
        <v>600362</v>
      </c>
      <c r="B306" t="s">
        <v>454</v>
      </c>
      <c r="C306">
        <v>1.75</v>
      </c>
      <c r="D306">
        <v>15.13</v>
      </c>
      <c r="E306">
        <v>0.26</v>
      </c>
      <c r="F306">
        <v>15.12</v>
      </c>
      <c r="G306">
        <v>15.13</v>
      </c>
      <c r="H306">
        <v>86034</v>
      </c>
      <c r="I306">
        <v>63</v>
      </c>
      <c r="J306">
        <v>-0.13</v>
      </c>
      <c r="K306">
        <v>0.41</v>
      </c>
      <c r="L306">
        <v>14.97</v>
      </c>
      <c r="M306">
        <v>15.24</v>
      </c>
      <c r="N306">
        <v>14.9</v>
      </c>
      <c r="O306">
        <v>14.87</v>
      </c>
      <c r="P306">
        <v>21.12</v>
      </c>
      <c r="Q306">
        <v>130023232</v>
      </c>
      <c r="R306">
        <v>1.0900000000000001</v>
      </c>
      <c r="S306" t="s">
        <v>230</v>
      </c>
      <c r="T306" t="s">
        <v>99</v>
      </c>
      <c r="U306">
        <v>2.29</v>
      </c>
      <c r="V306">
        <v>15.11</v>
      </c>
      <c r="W306">
        <v>43395</v>
      </c>
      <c r="X306">
        <v>42639</v>
      </c>
      <c r="Y306">
        <v>1.02</v>
      </c>
      <c r="Z306">
        <v>33</v>
      </c>
      <c r="AA306">
        <v>422</v>
      </c>
      <c r="AB306" t="s">
        <v>31</v>
      </c>
    </row>
    <row r="307" spans="1:28">
      <c r="A307" t="str">
        <f>"600363"</f>
        <v>600363</v>
      </c>
      <c r="B307" t="s">
        <v>455</v>
      </c>
      <c r="C307">
        <v>2</v>
      </c>
      <c r="D307">
        <v>7.64</v>
      </c>
      <c r="E307">
        <v>0.15</v>
      </c>
      <c r="F307">
        <v>7.65</v>
      </c>
      <c r="G307">
        <v>7.66</v>
      </c>
      <c r="H307">
        <v>32868</v>
      </c>
      <c r="I307">
        <v>40</v>
      </c>
      <c r="J307">
        <v>-0.26</v>
      </c>
      <c r="K307">
        <v>0.89</v>
      </c>
      <c r="L307">
        <v>7.52</v>
      </c>
      <c r="M307">
        <v>7.66</v>
      </c>
      <c r="N307">
        <v>7.45</v>
      </c>
      <c r="O307">
        <v>7.49</v>
      </c>
      <c r="P307">
        <v>37.729999999999997</v>
      </c>
      <c r="Q307">
        <v>24903220</v>
      </c>
      <c r="R307">
        <v>0.54</v>
      </c>
      <c r="S307" t="s">
        <v>153</v>
      </c>
      <c r="T307" t="s">
        <v>99</v>
      </c>
      <c r="U307">
        <v>2.8</v>
      </c>
      <c r="V307">
        <v>7.58</v>
      </c>
      <c r="W307">
        <v>16715</v>
      </c>
      <c r="X307">
        <v>16153</v>
      </c>
      <c r="Y307">
        <v>1.03</v>
      </c>
      <c r="Z307">
        <v>57</v>
      </c>
      <c r="AA307">
        <v>265</v>
      </c>
      <c r="AB307" t="s">
        <v>31</v>
      </c>
    </row>
    <row r="308" spans="1:28">
      <c r="A308" t="str">
        <f>"600365"</f>
        <v>600365</v>
      </c>
      <c r="B308" t="s">
        <v>456</v>
      </c>
      <c r="C308">
        <v>1.42</v>
      </c>
      <c r="D308">
        <v>8.56</v>
      </c>
      <c r="E308">
        <v>0.12</v>
      </c>
      <c r="F308">
        <v>8.5500000000000007</v>
      </c>
      <c r="G308">
        <v>8.56</v>
      </c>
      <c r="H308">
        <v>7015</v>
      </c>
      <c r="I308">
        <v>7</v>
      </c>
      <c r="J308">
        <v>0.11</v>
      </c>
      <c r="K308">
        <v>0.5</v>
      </c>
      <c r="L308">
        <v>8.4</v>
      </c>
      <c r="M308">
        <v>8.56</v>
      </c>
      <c r="N308">
        <v>8.36</v>
      </c>
      <c r="O308">
        <v>8.44</v>
      </c>
      <c r="P308">
        <v>2679.47</v>
      </c>
      <c r="Q308">
        <v>5918845</v>
      </c>
      <c r="R308">
        <v>0.6</v>
      </c>
      <c r="S308" t="s">
        <v>111</v>
      </c>
      <c r="T308" t="s">
        <v>191</v>
      </c>
      <c r="U308">
        <v>2.37</v>
      </c>
      <c r="V308">
        <v>8.44</v>
      </c>
      <c r="W308">
        <v>3775</v>
      </c>
      <c r="X308">
        <v>3240</v>
      </c>
      <c r="Y308">
        <v>1.17</v>
      </c>
      <c r="Z308">
        <v>80</v>
      </c>
      <c r="AA308">
        <v>162</v>
      </c>
      <c r="AB308" t="s">
        <v>31</v>
      </c>
    </row>
    <row r="309" spans="1:28">
      <c r="A309" t="str">
        <f>"600366"</f>
        <v>600366</v>
      </c>
      <c r="B309" t="s">
        <v>457</v>
      </c>
      <c r="C309">
        <v>3.27</v>
      </c>
      <c r="D309">
        <v>14.23</v>
      </c>
      <c r="E309">
        <v>0.45</v>
      </c>
      <c r="F309">
        <v>14.23</v>
      </c>
      <c r="G309">
        <v>14.24</v>
      </c>
      <c r="H309">
        <v>80451</v>
      </c>
      <c r="I309">
        <v>28</v>
      </c>
      <c r="J309">
        <v>0</v>
      </c>
      <c r="K309">
        <v>1.56</v>
      </c>
      <c r="L309">
        <v>13.82</v>
      </c>
      <c r="M309">
        <v>14.44</v>
      </c>
      <c r="N309">
        <v>13.71</v>
      </c>
      <c r="O309">
        <v>13.78</v>
      </c>
      <c r="P309">
        <v>26.17</v>
      </c>
      <c r="Q309">
        <v>112906008</v>
      </c>
      <c r="R309">
        <v>0.99</v>
      </c>
      <c r="S309" t="s">
        <v>458</v>
      </c>
      <c r="T309" t="s">
        <v>95</v>
      </c>
      <c r="U309">
        <v>5.3</v>
      </c>
      <c r="V309">
        <v>14.03</v>
      </c>
      <c r="W309">
        <v>38141</v>
      </c>
      <c r="X309">
        <v>42310</v>
      </c>
      <c r="Y309">
        <v>0.9</v>
      </c>
      <c r="Z309">
        <v>156</v>
      </c>
      <c r="AA309">
        <v>62</v>
      </c>
      <c r="AB309" t="s">
        <v>31</v>
      </c>
    </row>
    <row r="310" spans="1:28">
      <c r="A310" t="str">
        <f>"600367"</f>
        <v>600367</v>
      </c>
      <c r="B310" t="s">
        <v>459</v>
      </c>
      <c r="C310">
        <v>1.31</v>
      </c>
      <c r="D310">
        <v>8.5</v>
      </c>
      <c r="E310">
        <v>0.11</v>
      </c>
      <c r="F310">
        <v>8.48</v>
      </c>
      <c r="G310">
        <v>8.49</v>
      </c>
      <c r="H310">
        <v>18868</v>
      </c>
      <c r="I310">
        <v>12</v>
      </c>
      <c r="J310">
        <v>0.23</v>
      </c>
      <c r="K310">
        <v>0.65</v>
      </c>
      <c r="L310">
        <v>8.42</v>
      </c>
      <c r="M310">
        <v>8.52</v>
      </c>
      <c r="N310">
        <v>8.34</v>
      </c>
      <c r="O310">
        <v>8.39</v>
      </c>
      <c r="P310" t="s">
        <v>31</v>
      </c>
      <c r="Q310">
        <v>15947357</v>
      </c>
      <c r="R310">
        <v>0.61</v>
      </c>
      <c r="S310" t="s">
        <v>137</v>
      </c>
      <c r="T310" t="s">
        <v>195</v>
      </c>
      <c r="U310">
        <v>2.15</v>
      </c>
      <c r="V310">
        <v>8.4499999999999993</v>
      </c>
      <c r="W310">
        <v>8093</v>
      </c>
      <c r="X310">
        <v>10775</v>
      </c>
      <c r="Y310">
        <v>0.75</v>
      </c>
      <c r="Z310">
        <v>148</v>
      </c>
      <c r="AA310">
        <v>18</v>
      </c>
      <c r="AB310" t="s">
        <v>31</v>
      </c>
    </row>
    <row r="311" spans="1:28">
      <c r="A311" t="str">
        <f>"600368"</f>
        <v>600368</v>
      </c>
      <c r="B311" t="s">
        <v>460</v>
      </c>
      <c r="C311">
        <v>2.27</v>
      </c>
      <c r="D311">
        <v>4.5</v>
      </c>
      <c r="E311">
        <v>0.1</v>
      </c>
      <c r="F311">
        <v>4.5</v>
      </c>
      <c r="G311">
        <v>4.51</v>
      </c>
      <c r="H311">
        <v>37357</v>
      </c>
      <c r="I311">
        <v>23</v>
      </c>
      <c r="J311">
        <v>0</v>
      </c>
      <c r="K311">
        <v>0.45</v>
      </c>
      <c r="L311">
        <v>4.4000000000000004</v>
      </c>
      <c r="M311">
        <v>4.51</v>
      </c>
      <c r="N311">
        <v>4.3499999999999996</v>
      </c>
      <c r="O311">
        <v>4.4000000000000004</v>
      </c>
      <c r="P311">
        <v>12.82</v>
      </c>
      <c r="Q311">
        <v>16639574</v>
      </c>
      <c r="R311">
        <v>0.66</v>
      </c>
      <c r="S311" t="s">
        <v>51</v>
      </c>
      <c r="T311" t="s">
        <v>333</v>
      </c>
      <c r="U311">
        <v>3.64</v>
      </c>
      <c r="V311">
        <v>4.45</v>
      </c>
      <c r="W311">
        <v>18301</v>
      </c>
      <c r="X311">
        <v>19056</v>
      </c>
      <c r="Y311">
        <v>0.96</v>
      </c>
      <c r="Z311">
        <v>286</v>
      </c>
      <c r="AA311">
        <v>722</v>
      </c>
      <c r="AB311" t="s">
        <v>31</v>
      </c>
    </row>
    <row r="312" spans="1:28">
      <c r="A312" t="str">
        <f>"600369"</f>
        <v>600369</v>
      </c>
      <c r="B312" t="s">
        <v>461</v>
      </c>
      <c r="C312">
        <v>0.22</v>
      </c>
      <c r="D312">
        <v>9.01</v>
      </c>
      <c r="E312">
        <v>0.02</v>
      </c>
      <c r="F312">
        <v>9</v>
      </c>
      <c r="G312">
        <v>9.01</v>
      </c>
      <c r="H312">
        <v>133155</v>
      </c>
      <c r="I312">
        <v>15</v>
      </c>
      <c r="J312">
        <v>0</v>
      </c>
      <c r="K312">
        <v>0.56999999999999995</v>
      </c>
      <c r="L312">
        <v>8.98</v>
      </c>
      <c r="M312">
        <v>9.0299999999999994</v>
      </c>
      <c r="N312">
        <v>8.85</v>
      </c>
      <c r="O312">
        <v>8.99</v>
      </c>
      <c r="P312">
        <v>31.05</v>
      </c>
      <c r="Q312">
        <v>119168000</v>
      </c>
      <c r="R312">
        <v>1.1000000000000001</v>
      </c>
      <c r="S312" t="s">
        <v>72</v>
      </c>
      <c r="T312" t="s">
        <v>184</v>
      </c>
      <c r="U312">
        <v>2</v>
      </c>
      <c r="V312">
        <v>8.9499999999999993</v>
      </c>
      <c r="W312">
        <v>77790</v>
      </c>
      <c r="X312">
        <v>55365</v>
      </c>
      <c r="Y312">
        <v>1.41</v>
      </c>
      <c r="Z312">
        <v>252</v>
      </c>
      <c r="AA312">
        <v>144</v>
      </c>
      <c r="AB312" t="s">
        <v>31</v>
      </c>
    </row>
    <row r="313" spans="1:28">
      <c r="A313" t="str">
        <f>"600370"</f>
        <v>600370</v>
      </c>
      <c r="B313" t="s">
        <v>462</v>
      </c>
      <c r="C313">
        <v>0</v>
      </c>
      <c r="D313">
        <v>4.54</v>
      </c>
      <c r="E313">
        <v>0</v>
      </c>
      <c r="F313" t="s">
        <v>31</v>
      </c>
      <c r="G313" t="s">
        <v>31</v>
      </c>
      <c r="H313">
        <v>0</v>
      </c>
      <c r="I313">
        <v>0</v>
      </c>
      <c r="J313">
        <v>0</v>
      </c>
      <c r="K313">
        <v>0</v>
      </c>
      <c r="L313" t="s">
        <v>31</v>
      </c>
      <c r="M313" t="s">
        <v>31</v>
      </c>
      <c r="N313" t="s">
        <v>31</v>
      </c>
      <c r="O313">
        <v>4.54</v>
      </c>
      <c r="P313">
        <v>31.72</v>
      </c>
      <c r="Q313">
        <v>0</v>
      </c>
      <c r="R313">
        <v>0</v>
      </c>
      <c r="S313" t="s">
        <v>127</v>
      </c>
      <c r="T313" t="s">
        <v>120</v>
      </c>
      <c r="U313">
        <v>0</v>
      </c>
      <c r="V313">
        <v>4.54</v>
      </c>
      <c r="W313">
        <v>0</v>
      </c>
      <c r="X313">
        <v>0</v>
      </c>
      <c r="Y313" t="s">
        <v>31</v>
      </c>
      <c r="Z313">
        <v>0</v>
      </c>
      <c r="AA313">
        <v>0</v>
      </c>
      <c r="AB313" t="s">
        <v>31</v>
      </c>
    </row>
    <row r="314" spans="1:28">
      <c r="A314" t="str">
        <f>"600371"</f>
        <v>600371</v>
      </c>
      <c r="B314" t="s">
        <v>463</v>
      </c>
      <c r="C314">
        <v>0.56999999999999995</v>
      </c>
      <c r="D314">
        <v>8.75</v>
      </c>
      <c r="E314">
        <v>0.05</v>
      </c>
      <c r="F314">
        <v>8.73</v>
      </c>
      <c r="G314">
        <v>8.74</v>
      </c>
      <c r="H314">
        <v>19360</v>
      </c>
      <c r="I314">
        <v>6</v>
      </c>
      <c r="J314">
        <v>0.22</v>
      </c>
      <c r="K314">
        <v>0.95</v>
      </c>
      <c r="L314">
        <v>8.6999999999999993</v>
      </c>
      <c r="M314">
        <v>8.7799999999999994</v>
      </c>
      <c r="N314">
        <v>8.58</v>
      </c>
      <c r="O314">
        <v>8.6999999999999993</v>
      </c>
      <c r="P314">
        <v>835.11</v>
      </c>
      <c r="Q314">
        <v>16856532</v>
      </c>
      <c r="R314">
        <v>0.8</v>
      </c>
      <c r="S314" t="s">
        <v>408</v>
      </c>
      <c r="T314" t="s">
        <v>85</v>
      </c>
      <c r="U314">
        <v>2.2999999999999998</v>
      </c>
      <c r="V314">
        <v>8.7100000000000009</v>
      </c>
      <c r="W314">
        <v>9523</v>
      </c>
      <c r="X314">
        <v>9837</v>
      </c>
      <c r="Y314">
        <v>0.97</v>
      </c>
      <c r="Z314">
        <v>41</v>
      </c>
      <c r="AA314">
        <v>82</v>
      </c>
      <c r="AB314" t="s">
        <v>31</v>
      </c>
    </row>
    <row r="315" spans="1:28">
      <c r="A315" t="str">
        <f>"600372"</f>
        <v>600372</v>
      </c>
      <c r="B315" t="s">
        <v>464</v>
      </c>
      <c r="C315">
        <v>1.08</v>
      </c>
      <c r="D315">
        <v>17.84</v>
      </c>
      <c r="E315">
        <v>0.19</v>
      </c>
      <c r="F315">
        <v>17.8</v>
      </c>
      <c r="G315">
        <v>17.829999999999998</v>
      </c>
      <c r="H315">
        <v>42598</v>
      </c>
      <c r="I315">
        <v>2</v>
      </c>
      <c r="J315">
        <v>-0.05</v>
      </c>
      <c r="K315">
        <v>0.47</v>
      </c>
      <c r="L315">
        <v>17.63</v>
      </c>
      <c r="M315">
        <v>17.920000000000002</v>
      </c>
      <c r="N315">
        <v>17.27</v>
      </c>
      <c r="O315">
        <v>17.649999999999999</v>
      </c>
      <c r="P315">
        <v>60.51</v>
      </c>
      <c r="Q315">
        <v>74595712</v>
      </c>
      <c r="R315">
        <v>0.77</v>
      </c>
      <c r="S315" t="s">
        <v>84</v>
      </c>
      <c r="T315" t="s">
        <v>99</v>
      </c>
      <c r="U315">
        <v>3.68</v>
      </c>
      <c r="V315">
        <v>17.510000000000002</v>
      </c>
      <c r="W315">
        <v>23023</v>
      </c>
      <c r="X315">
        <v>19575</v>
      </c>
      <c r="Y315">
        <v>1.18</v>
      </c>
      <c r="Z315">
        <v>2</v>
      </c>
      <c r="AA315">
        <v>6</v>
      </c>
      <c r="AB315" t="s">
        <v>31</v>
      </c>
    </row>
    <row r="316" spans="1:28">
      <c r="A316" t="str">
        <f>"600373"</f>
        <v>600373</v>
      </c>
      <c r="B316" t="s">
        <v>465</v>
      </c>
      <c r="C316">
        <v>2</v>
      </c>
      <c r="D316">
        <v>18.84</v>
      </c>
      <c r="E316">
        <v>0.37</v>
      </c>
      <c r="F316">
        <v>18.829999999999998</v>
      </c>
      <c r="G316">
        <v>18.850000000000001</v>
      </c>
      <c r="H316">
        <v>48256</v>
      </c>
      <c r="I316">
        <v>5</v>
      </c>
      <c r="J316">
        <v>0.05</v>
      </c>
      <c r="K316">
        <v>2.57</v>
      </c>
      <c r="L316">
        <v>18.41</v>
      </c>
      <c r="M316">
        <v>19.149999999999999</v>
      </c>
      <c r="N316">
        <v>18.399999999999999</v>
      </c>
      <c r="O316">
        <v>18.47</v>
      </c>
      <c r="P316">
        <v>17.87</v>
      </c>
      <c r="Q316">
        <v>91181104</v>
      </c>
      <c r="R316">
        <v>0.94</v>
      </c>
      <c r="S316" t="s">
        <v>466</v>
      </c>
      <c r="T316" t="s">
        <v>99</v>
      </c>
      <c r="U316">
        <v>4.0599999999999996</v>
      </c>
      <c r="V316">
        <v>18.899999999999999</v>
      </c>
      <c r="W316">
        <v>24592</v>
      </c>
      <c r="X316">
        <v>23664</v>
      </c>
      <c r="Y316">
        <v>1.04</v>
      </c>
      <c r="Z316">
        <v>40</v>
      </c>
      <c r="AA316">
        <v>62</v>
      </c>
      <c r="AB316" t="s">
        <v>31</v>
      </c>
    </row>
    <row r="317" spans="1:28">
      <c r="A317" t="str">
        <f>"600375"</f>
        <v>600375</v>
      </c>
      <c r="B317" t="s">
        <v>467</v>
      </c>
      <c r="C317">
        <v>3.88</v>
      </c>
      <c r="D317">
        <v>12.32</v>
      </c>
      <c r="E317">
        <v>0.46</v>
      </c>
      <c r="F317">
        <v>12.33</v>
      </c>
      <c r="G317">
        <v>12.34</v>
      </c>
      <c r="H317">
        <v>139974</v>
      </c>
      <c r="I317">
        <v>60</v>
      </c>
      <c r="J317">
        <v>0</v>
      </c>
      <c r="K317">
        <v>7.47</v>
      </c>
      <c r="L317">
        <v>11.55</v>
      </c>
      <c r="M317">
        <v>12.43</v>
      </c>
      <c r="N317">
        <v>11.41</v>
      </c>
      <c r="O317">
        <v>11.86</v>
      </c>
      <c r="P317">
        <v>20.350000000000001</v>
      </c>
      <c r="Q317">
        <v>167587984</v>
      </c>
      <c r="R317">
        <v>1.34</v>
      </c>
      <c r="S317" t="s">
        <v>39</v>
      </c>
      <c r="T317" t="s">
        <v>52</v>
      </c>
      <c r="U317">
        <v>8.6</v>
      </c>
      <c r="V317">
        <v>11.97</v>
      </c>
      <c r="W317">
        <v>62519</v>
      </c>
      <c r="X317">
        <v>77455</v>
      </c>
      <c r="Y317">
        <v>0.81</v>
      </c>
      <c r="Z317">
        <v>16</v>
      </c>
      <c r="AA317">
        <v>165</v>
      </c>
      <c r="AB317" t="s">
        <v>31</v>
      </c>
    </row>
    <row r="318" spans="1:28">
      <c r="A318" t="str">
        <f>"600376"</f>
        <v>600376</v>
      </c>
      <c r="B318" t="s">
        <v>468</v>
      </c>
      <c r="C318">
        <v>0.74</v>
      </c>
      <c r="D318">
        <v>5.41</v>
      </c>
      <c r="E318">
        <v>0.04</v>
      </c>
      <c r="F318">
        <v>5.41</v>
      </c>
      <c r="G318">
        <v>5.42</v>
      </c>
      <c r="H318">
        <v>136269</v>
      </c>
      <c r="I318">
        <v>63</v>
      </c>
      <c r="J318">
        <v>-0.18</v>
      </c>
      <c r="K318">
        <v>0.61</v>
      </c>
      <c r="L318">
        <v>5.38</v>
      </c>
      <c r="M318">
        <v>5.43</v>
      </c>
      <c r="N318">
        <v>5.3</v>
      </c>
      <c r="O318">
        <v>5.37</v>
      </c>
      <c r="P318">
        <v>16.11</v>
      </c>
      <c r="Q318">
        <v>73309056</v>
      </c>
      <c r="R318">
        <v>0.55000000000000004</v>
      </c>
      <c r="S318" t="s">
        <v>97</v>
      </c>
      <c r="T318" t="s">
        <v>42</v>
      </c>
      <c r="U318">
        <v>2.42</v>
      </c>
      <c r="V318">
        <v>5.38</v>
      </c>
      <c r="W318">
        <v>63061</v>
      </c>
      <c r="X318">
        <v>73208</v>
      </c>
      <c r="Y318">
        <v>0.86</v>
      </c>
      <c r="Z318">
        <v>31</v>
      </c>
      <c r="AA318">
        <v>41</v>
      </c>
      <c r="AB318" t="s">
        <v>31</v>
      </c>
    </row>
    <row r="319" spans="1:28">
      <c r="A319" t="str">
        <f>"600377"</f>
        <v>600377</v>
      </c>
      <c r="B319" t="s">
        <v>469</v>
      </c>
      <c r="C319">
        <v>1.77</v>
      </c>
      <c r="D319">
        <v>5.75</v>
      </c>
      <c r="E319">
        <v>0.1</v>
      </c>
      <c r="F319">
        <v>5.75</v>
      </c>
      <c r="G319">
        <v>5.76</v>
      </c>
      <c r="H319">
        <v>29582</v>
      </c>
      <c r="I319">
        <v>44</v>
      </c>
      <c r="J319">
        <v>0</v>
      </c>
      <c r="K319">
        <v>0.08</v>
      </c>
      <c r="L319">
        <v>5.66</v>
      </c>
      <c r="M319">
        <v>5.76</v>
      </c>
      <c r="N319">
        <v>5.65</v>
      </c>
      <c r="O319">
        <v>5.65</v>
      </c>
      <c r="P319">
        <v>10.08</v>
      </c>
      <c r="Q319">
        <v>16902232</v>
      </c>
      <c r="R319">
        <v>2.2000000000000002</v>
      </c>
      <c r="S319" t="s">
        <v>51</v>
      </c>
      <c r="T319" t="s">
        <v>120</v>
      </c>
      <c r="U319">
        <v>1.95</v>
      </c>
      <c r="V319">
        <v>5.71</v>
      </c>
      <c r="W319">
        <v>5178</v>
      </c>
      <c r="X319">
        <v>24404</v>
      </c>
      <c r="Y319">
        <v>0.21</v>
      </c>
      <c r="Z319">
        <v>8</v>
      </c>
      <c r="AA319">
        <v>220</v>
      </c>
      <c r="AB319" t="s">
        <v>31</v>
      </c>
    </row>
    <row r="320" spans="1:28">
      <c r="A320" t="str">
        <f>"600378"</f>
        <v>600378</v>
      </c>
      <c r="B320" t="s">
        <v>470</v>
      </c>
      <c r="C320">
        <v>5.45</v>
      </c>
      <c r="D320">
        <v>10.07</v>
      </c>
      <c r="E320">
        <v>0.52</v>
      </c>
      <c r="F320">
        <v>10.07</v>
      </c>
      <c r="G320">
        <v>10.08</v>
      </c>
      <c r="H320">
        <v>68966</v>
      </c>
      <c r="I320">
        <v>4</v>
      </c>
      <c r="J320">
        <v>0.69</v>
      </c>
      <c r="K320">
        <v>2.3199999999999998</v>
      </c>
      <c r="L320">
        <v>9.56</v>
      </c>
      <c r="M320">
        <v>10.08</v>
      </c>
      <c r="N320">
        <v>9.4</v>
      </c>
      <c r="O320">
        <v>9.5500000000000007</v>
      </c>
      <c r="P320">
        <v>48.15</v>
      </c>
      <c r="Q320">
        <v>67957320</v>
      </c>
      <c r="R320">
        <v>0.95</v>
      </c>
      <c r="S320" t="s">
        <v>137</v>
      </c>
      <c r="T320" t="s">
        <v>88</v>
      </c>
      <c r="U320">
        <v>7.12</v>
      </c>
      <c r="V320">
        <v>9.85</v>
      </c>
      <c r="W320">
        <v>27317</v>
      </c>
      <c r="X320">
        <v>41649</v>
      </c>
      <c r="Y320">
        <v>0.66</v>
      </c>
      <c r="Z320">
        <v>38</v>
      </c>
      <c r="AA320">
        <v>80</v>
      </c>
      <c r="AB320" t="s">
        <v>31</v>
      </c>
    </row>
    <row r="321" spans="1:28">
      <c r="A321" t="str">
        <f>"600379"</f>
        <v>600379</v>
      </c>
      <c r="B321" t="s">
        <v>471</v>
      </c>
      <c r="C321">
        <v>4.07</v>
      </c>
      <c r="D321">
        <v>8.18</v>
      </c>
      <c r="E321">
        <v>0.32</v>
      </c>
      <c r="F321">
        <v>8.16</v>
      </c>
      <c r="G321">
        <v>8.17</v>
      </c>
      <c r="H321">
        <v>28924</v>
      </c>
      <c r="I321">
        <v>52</v>
      </c>
      <c r="J321">
        <v>0.61</v>
      </c>
      <c r="K321">
        <v>1.23</v>
      </c>
      <c r="L321">
        <v>7.84</v>
      </c>
      <c r="M321">
        <v>8.2200000000000006</v>
      </c>
      <c r="N321">
        <v>7.81</v>
      </c>
      <c r="O321">
        <v>7.86</v>
      </c>
      <c r="P321">
        <v>137.85</v>
      </c>
      <c r="Q321">
        <v>23387032</v>
      </c>
      <c r="R321">
        <v>0.8</v>
      </c>
      <c r="S321" t="s">
        <v>161</v>
      </c>
      <c r="T321" t="s">
        <v>147</v>
      </c>
      <c r="U321">
        <v>5.22</v>
      </c>
      <c r="V321">
        <v>8.09</v>
      </c>
      <c r="W321">
        <v>13259</v>
      </c>
      <c r="X321">
        <v>15665</v>
      </c>
      <c r="Y321">
        <v>0.85</v>
      </c>
      <c r="Z321">
        <v>546</v>
      </c>
      <c r="AA321">
        <v>20</v>
      </c>
      <c r="AB321" t="s">
        <v>31</v>
      </c>
    </row>
    <row r="322" spans="1:28">
      <c r="A322" t="str">
        <f>"600380"</f>
        <v>600380</v>
      </c>
      <c r="B322" t="s">
        <v>472</v>
      </c>
      <c r="C322">
        <v>2.1800000000000002</v>
      </c>
      <c r="D322">
        <v>5.15</v>
      </c>
      <c r="E322">
        <v>0.11</v>
      </c>
      <c r="F322">
        <v>5.14</v>
      </c>
      <c r="G322">
        <v>5.15</v>
      </c>
      <c r="H322">
        <v>101366</v>
      </c>
      <c r="I322">
        <v>10</v>
      </c>
      <c r="J322">
        <v>0.38</v>
      </c>
      <c r="K322">
        <v>0.66</v>
      </c>
      <c r="L322">
        <v>5.01</v>
      </c>
      <c r="M322">
        <v>5.18</v>
      </c>
      <c r="N322">
        <v>4.96</v>
      </c>
      <c r="O322">
        <v>5.04</v>
      </c>
      <c r="P322">
        <v>23.16</v>
      </c>
      <c r="Q322">
        <v>51371028</v>
      </c>
      <c r="R322">
        <v>0.56000000000000005</v>
      </c>
      <c r="S322" t="s">
        <v>156</v>
      </c>
      <c r="T322" t="s">
        <v>73</v>
      </c>
      <c r="U322">
        <v>4.37</v>
      </c>
      <c r="V322">
        <v>5.07</v>
      </c>
      <c r="W322">
        <v>50408</v>
      </c>
      <c r="X322">
        <v>50958</v>
      </c>
      <c r="Y322">
        <v>0.99</v>
      </c>
      <c r="Z322">
        <v>463</v>
      </c>
      <c r="AA322">
        <v>595</v>
      </c>
      <c r="AB322" t="s">
        <v>31</v>
      </c>
    </row>
    <row r="323" spans="1:28">
      <c r="A323" t="str">
        <f>"600381"</f>
        <v>600381</v>
      </c>
      <c r="B323" t="s">
        <v>473</v>
      </c>
      <c r="C323">
        <v>0</v>
      </c>
      <c r="D323">
        <v>2.08</v>
      </c>
      <c r="E323">
        <v>0</v>
      </c>
      <c r="F323" t="s">
        <v>31</v>
      </c>
      <c r="G323" t="s">
        <v>31</v>
      </c>
      <c r="H323">
        <v>0</v>
      </c>
      <c r="I323">
        <v>0</v>
      </c>
      <c r="J323">
        <v>0</v>
      </c>
      <c r="K323">
        <v>0</v>
      </c>
      <c r="L323" t="s">
        <v>31</v>
      </c>
      <c r="M323" t="s">
        <v>31</v>
      </c>
      <c r="N323" t="s">
        <v>31</v>
      </c>
      <c r="O323">
        <v>2.08</v>
      </c>
      <c r="P323" t="s">
        <v>31</v>
      </c>
      <c r="Q323">
        <v>0</v>
      </c>
      <c r="R323">
        <v>0</v>
      </c>
      <c r="S323" t="s">
        <v>208</v>
      </c>
      <c r="T323" t="s">
        <v>203</v>
      </c>
      <c r="U323">
        <v>0</v>
      </c>
      <c r="V323">
        <v>2.08</v>
      </c>
      <c r="W323">
        <v>0</v>
      </c>
      <c r="X323">
        <v>0</v>
      </c>
      <c r="Y323" t="s">
        <v>31</v>
      </c>
      <c r="Z323">
        <v>0</v>
      </c>
      <c r="AA323">
        <v>0</v>
      </c>
      <c r="AB323" t="s">
        <v>31</v>
      </c>
    </row>
    <row r="324" spans="1:28">
      <c r="A324" t="str">
        <f>"600382"</f>
        <v>600382</v>
      </c>
      <c r="B324" t="s">
        <v>474</v>
      </c>
      <c r="C324">
        <v>0.78</v>
      </c>
      <c r="D324">
        <v>6.45</v>
      </c>
      <c r="E324">
        <v>0.05</v>
      </c>
      <c r="F324">
        <v>6.45</v>
      </c>
      <c r="G324">
        <v>6.46</v>
      </c>
      <c r="H324">
        <v>26422</v>
      </c>
      <c r="I324">
        <v>30</v>
      </c>
      <c r="J324">
        <v>0</v>
      </c>
      <c r="K324">
        <v>0.77</v>
      </c>
      <c r="L324">
        <v>6.42</v>
      </c>
      <c r="M324">
        <v>6.47</v>
      </c>
      <c r="N324">
        <v>6.3</v>
      </c>
      <c r="O324">
        <v>6.4</v>
      </c>
      <c r="P324">
        <v>14.12</v>
      </c>
      <c r="Q324">
        <v>16908602</v>
      </c>
      <c r="R324">
        <v>0.75</v>
      </c>
      <c r="S324" t="s">
        <v>109</v>
      </c>
      <c r="T324" t="s">
        <v>34</v>
      </c>
      <c r="U324">
        <v>2.66</v>
      </c>
      <c r="V324">
        <v>6.4</v>
      </c>
      <c r="W324">
        <v>15189</v>
      </c>
      <c r="X324">
        <v>11233</v>
      </c>
      <c r="Y324">
        <v>1.35</v>
      </c>
      <c r="Z324">
        <v>30</v>
      </c>
      <c r="AA324">
        <v>137</v>
      </c>
      <c r="AB324" t="s">
        <v>31</v>
      </c>
    </row>
    <row r="325" spans="1:28">
      <c r="A325" t="str">
        <f>"600383"</f>
        <v>600383</v>
      </c>
      <c r="B325" t="s">
        <v>475</v>
      </c>
      <c r="C325">
        <v>1.23</v>
      </c>
      <c r="D325">
        <v>5.74</v>
      </c>
      <c r="E325">
        <v>7.0000000000000007E-2</v>
      </c>
      <c r="F325">
        <v>5.73</v>
      </c>
      <c r="G325">
        <v>5.74</v>
      </c>
      <c r="H325">
        <v>408387</v>
      </c>
      <c r="I325">
        <v>68</v>
      </c>
      <c r="J325">
        <v>0</v>
      </c>
      <c r="K325">
        <v>0.91</v>
      </c>
      <c r="L325">
        <v>5.67</v>
      </c>
      <c r="M325">
        <v>5.78</v>
      </c>
      <c r="N325">
        <v>5.55</v>
      </c>
      <c r="O325">
        <v>5.67</v>
      </c>
      <c r="P325">
        <v>26.87</v>
      </c>
      <c r="Q325">
        <v>232102448</v>
      </c>
      <c r="R325">
        <v>1.17</v>
      </c>
      <c r="S325" t="s">
        <v>90</v>
      </c>
      <c r="T325" t="s">
        <v>73</v>
      </c>
      <c r="U325">
        <v>4.0599999999999996</v>
      </c>
      <c r="V325">
        <v>5.68</v>
      </c>
      <c r="W325">
        <v>199431</v>
      </c>
      <c r="X325">
        <v>208956</v>
      </c>
      <c r="Y325">
        <v>0.95</v>
      </c>
      <c r="Z325">
        <v>1667</v>
      </c>
      <c r="AA325">
        <v>514</v>
      </c>
      <c r="AB325" t="s">
        <v>31</v>
      </c>
    </row>
    <row r="326" spans="1:28">
      <c r="A326" t="str">
        <f>"600386"</f>
        <v>600386</v>
      </c>
      <c r="B326" t="s">
        <v>476</v>
      </c>
      <c r="C326">
        <v>2.29</v>
      </c>
      <c r="D326">
        <v>8.0299999999999994</v>
      </c>
      <c r="E326">
        <v>0.18</v>
      </c>
      <c r="F326">
        <v>8.0299999999999994</v>
      </c>
      <c r="G326">
        <v>8.0399999999999991</v>
      </c>
      <c r="H326">
        <v>34056</v>
      </c>
      <c r="I326">
        <v>410</v>
      </c>
      <c r="J326">
        <v>0.12</v>
      </c>
      <c r="K326">
        <v>0.84</v>
      </c>
      <c r="L326">
        <v>7.85</v>
      </c>
      <c r="M326">
        <v>8.08</v>
      </c>
      <c r="N326">
        <v>7.8</v>
      </c>
      <c r="O326">
        <v>7.85</v>
      </c>
      <c r="P326">
        <v>18.03</v>
      </c>
      <c r="Q326">
        <v>27180008</v>
      </c>
      <c r="R326">
        <v>0.64</v>
      </c>
      <c r="S326" t="s">
        <v>477</v>
      </c>
      <c r="T326" t="s">
        <v>42</v>
      </c>
      <c r="U326">
        <v>3.57</v>
      </c>
      <c r="V326">
        <v>7.98</v>
      </c>
      <c r="W326">
        <v>16525</v>
      </c>
      <c r="X326">
        <v>17531</v>
      </c>
      <c r="Y326">
        <v>0.94</v>
      </c>
      <c r="Z326">
        <v>113</v>
      </c>
      <c r="AA326">
        <v>341</v>
      </c>
      <c r="AB326" t="s">
        <v>31</v>
      </c>
    </row>
    <row r="327" spans="1:28">
      <c r="A327" t="str">
        <f>"600387"</f>
        <v>600387</v>
      </c>
      <c r="B327" t="s">
        <v>478</v>
      </c>
      <c r="C327">
        <v>2.04</v>
      </c>
      <c r="D327">
        <v>17.03</v>
      </c>
      <c r="E327">
        <v>0.34</v>
      </c>
      <c r="F327">
        <v>17.010000000000002</v>
      </c>
      <c r="G327">
        <v>17.05</v>
      </c>
      <c r="H327">
        <v>42325</v>
      </c>
      <c r="I327">
        <v>107</v>
      </c>
      <c r="J327">
        <v>0.17</v>
      </c>
      <c r="K327">
        <v>1.1000000000000001</v>
      </c>
      <c r="L327">
        <v>16.55</v>
      </c>
      <c r="M327">
        <v>17.25</v>
      </c>
      <c r="N327">
        <v>16.53</v>
      </c>
      <c r="O327">
        <v>16.690000000000001</v>
      </c>
      <c r="P327">
        <v>95.47</v>
      </c>
      <c r="Q327">
        <v>71888440</v>
      </c>
      <c r="R327">
        <v>0.59</v>
      </c>
      <c r="S327" t="s">
        <v>479</v>
      </c>
      <c r="T327" t="s">
        <v>95</v>
      </c>
      <c r="U327">
        <v>4.3099999999999996</v>
      </c>
      <c r="V327">
        <v>16.98</v>
      </c>
      <c r="W327">
        <v>22278</v>
      </c>
      <c r="X327">
        <v>20047</v>
      </c>
      <c r="Y327">
        <v>1.1100000000000001</v>
      </c>
      <c r="Z327">
        <v>1</v>
      </c>
      <c r="AA327">
        <v>5</v>
      </c>
      <c r="AB327" t="s">
        <v>31</v>
      </c>
    </row>
    <row r="328" spans="1:28">
      <c r="A328" t="str">
        <f>"600388"</f>
        <v>600388</v>
      </c>
      <c r="B328" t="s">
        <v>480</v>
      </c>
      <c r="C328">
        <v>1.82</v>
      </c>
      <c r="D328">
        <v>35.270000000000003</v>
      </c>
      <c r="E328">
        <v>0.63</v>
      </c>
      <c r="F328">
        <v>35.270000000000003</v>
      </c>
      <c r="G328">
        <v>35.28</v>
      </c>
      <c r="H328">
        <v>223554</v>
      </c>
      <c r="I328">
        <v>42</v>
      </c>
      <c r="J328">
        <v>0.25</v>
      </c>
      <c r="K328">
        <v>5.27</v>
      </c>
      <c r="L328">
        <v>34.18</v>
      </c>
      <c r="M328">
        <v>35.57</v>
      </c>
      <c r="N328">
        <v>33.89</v>
      </c>
      <c r="O328">
        <v>34.64</v>
      </c>
      <c r="P328">
        <v>56.55</v>
      </c>
      <c r="Q328">
        <v>780830208</v>
      </c>
      <c r="R328">
        <v>0.74</v>
      </c>
      <c r="S328" t="s">
        <v>481</v>
      </c>
      <c r="T328" t="s">
        <v>78</v>
      </c>
      <c r="U328">
        <v>4.8499999999999996</v>
      </c>
      <c r="V328">
        <v>34.93</v>
      </c>
      <c r="W328">
        <v>107589</v>
      </c>
      <c r="X328">
        <v>115965</v>
      </c>
      <c r="Y328">
        <v>0.93</v>
      </c>
      <c r="Z328">
        <v>211</v>
      </c>
      <c r="AA328">
        <v>235</v>
      </c>
      <c r="AB328" t="s">
        <v>31</v>
      </c>
    </row>
    <row r="329" spans="1:28">
      <c r="A329" t="str">
        <f>"600389"</f>
        <v>600389</v>
      </c>
      <c r="B329" t="s">
        <v>482</v>
      </c>
      <c r="C329">
        <v>1.62</v>
      </c>
      <c r="D329">
        <v>32.01</v>
      </c>
      <c r="E329">
        <v>0.51</v>
      </c>
      <c r="F329">
        <v>32.01</v>
      </c>
      <c r="G329">
        <v>32.049999999999997</v>
      </c>
      <c r="H329">
        <v>26267</v>
      </c>
      <c r="I329">
        <v>36</v>
      </c>
      <c r="J329">
        <v>0.34</v>
      </c>
      <c r="K329">
        <v>1.33</v>
      </c>
      <c r="L329">
        <v>31.09</v>
      </c>
      <c r="M329">
        <v>32.049999999999997</v>
      </c>
      <c r="N329">
        <v>30.51</v>
      </c>
      <c r="O329">
        <v>31.5</v>
      </c>
      <c r="P329">
        <v>20.28</v>
      </c>
      <c r="Q329">
        <v>82199544</v>
      </c>
      <c r="R329">
        <v>1.1100000000000001</v>
      </c>
      <c r="S329" t="s">
        <v>169</v>
      </c>
      <c r="T329" t="s">
        <v>120</v>
      </c>
      <c r="U329">
        <v>4.8899999999999997</v>
      </c>
      <c r="V329">
        <v>31.29</v>
      </c>
      <c r="W329">
        <v>9176</v>
      </c>
      <c r="X329">
        <v>17091</v>
      </c>
      <c r="Y329">
        <v>0.54</v>
      </c>
      <c r="Z329">
        <v>16</v>
      </c>
      <c r="AA329">
        <v>19</v>
      </c>
      <c r="AB329" t="s">
        <v>31</v>
      </c>
    </row>
    <row r="330" spans="1:28">
      <c r="A330" t="str">
        <f>"600390"</f>
        <v>600390</v>
      </c>
      <c r="B330" t="s">
        <v>483</v>
      </c>
      <c r="C330">
        <v>0</v>
      </c>
      <c r="D330">
        <v>7.83</v>
      </c>
      <c r="E330">
        <v>0</v>
      </c>
      <c r="F330">
        <v>7.82</v>
      </c>
      <c r="G330">
        <v>7.83</v>
      </c>
      <c r="H330">
        <v>41461</v>
      </c>
      <c r="I330">
        <v>110</v>
      </c>
      <c r="J330">
        <v>0.25</v>
      </c>
      <c r="K330">
        <v>1.3</v>
      </c>
      <c r="L330">
        <v>7.61</v>
      </c>
      <c r="M330">
        <v>7.84</v>
      </c>
      <c r="N330">
        <v>7.6</v>
      </c>
      <c r="O330">
        <v>7.83</v>
      </c>
      <c r="P330">
        <v>300.39999999999998</v>
      </c>
      <c r="Q330">
        <v>32058318</v>
      </c>
      <c r="R330">
        <v>0.8</v>
      </c>
      <c r="S330" t="s">
        <v>193</v>
      </c>
      <c r="T330" t="s">
        <v>76</v>
      </c>
      <c r="U330">
        <v>3.07</v>
      </c>
      <c r="V330">
        <v>7.73</v>
      </c>
      <c r="W330">
        <v>19523</v>
      </c>
      <c r="X330">
        <v>21938</v>
      </c>
      <c r="Y330">
        <v>0.89</v>
      </c>
      <c r="Z330">
        <v>146</v>
      </c>
      <c r="AA330">
        <v>204</v>
      </c>
      <c r="AB330" t="s">
        <v>31</v>
      </c>
    </row>
    <row r="331" spans="1:28">
      <c r="A331" t="str">
        <f>"600391"</f>
        <v>600391</v>
      </c>
      <c r="B331" t="s">
        <v>484</v>
      </c>
      <c r="C331">
        <v>3.33</v>
      </c>
      <c r="D331">
        <v>11.78</v>
      </c>
      <c r="E331">
        <v>0.38</v>
      </c>
      <c r="F331">
        <v>11.78</v>
      </c>
      <c r="G331">
        <v>11.79</v>
      </c>
      <c r="H331">
        <v>21937</v>
      </c>
      <c r="I331">
        <v>100</v>
      </c>
      <c r="J331">
        <v>0.17</v>
      </c>
      <c r="K331">
        <v>0.66</v>
      </c>
      <c r="L331">
        <v>11.45</v>
      </c>
      <c r="M331">
        <v>11.8</v>
      </c>
      <c r="N331">
        <v>11.31</v>
      </c>
      <c r="O331">
        <v>11.4</v>
      </c>
      <c r="P331">
        <v>80.64</v>
      </c>
      <c r="Q331">
        <v>25356484</v>
      </c>
      <c r="R331">
        <v>0.69</v>
      </c>
      <c r="S331" t="s">
        <v>84</v>
      </c>
      <c r="T331" t="s">
        <v>88</v>
      </c>
      <c r="U331">
        <v>4.3</v>
      </c>
      <c r="V331">
        <v>11.56</v>
      </c>
      <c r="W331">
        <v>8067</v>
      </c>
      <c r="X331">
        <v>13870</v>
      </c>
      <c r="Y331">
        <v>0.57999999999999996</v>
      </c>
      <c r="Z331">
        <v>28</v>
      </c>
      <c r="AA331">
        <v>387</v>
      </c>
      <c r="AB331" t="s">
        <v>31</v>
      </c>
    </row>
    <row r="332" spans="1:28">
      <c r="A332" t="str">
        <f>"600392"</f>
        <v>600392</v>
      </c>
      <c r="B332" t="s">
        <v>485</v>
      </c>
      <c r="C332">
        <v>-4.0999999999999996</v>
      </c>
      <c r="D332">
        <v>20.36</v>
      </c>
      <c r="E332">
        <v>-0.87</v>
      </c>
      <c r="F332">
        <v>20.37</v>
      </c>
      <c r="G332">
        <v>20.38</v>
      </c>
      <c r="H332">
        <v>121169</v>
      </c>
      <c r="I332">
        <v>8</v>
      </c>
      <c r="J332">
        <v>-0.14000000000000001</v>
      </c>
      <c r="K332">
        <v>7.74</v>
      </c>
      <c r="L332">
        <v>20.94</v>
      </c>
      <c r="M332">
        <v>20.94</v>
      </c>
      <c r="N332">
        <v>19.38</v>
      </c>
      <c r="O332">
        <v>21.23</v>
      </c>
      <c r="P332">
        <v>145.38</v>
      </c>
      <c r="Q332">
        <v>245057584</v>
      </c>
      <c r="R332">
        <v>1.9</v>
      </c>
      <c r="S332" t="s">
        <v>193</v>
      </c>
      <c r="T332" t="s">
        <v>212</v>
      </c>
      <c r="U332">
        <v>7.35</v>
      </c>
      <c r="V332">
        <v>20.22</v>
      </c>
      <c r="W332">
        <v>66698</v>
      </c>
      <c r="X332">
        <v>54471</v>
      </c>
      <c r="Y332">
        <v>1.22</v>
      </c>
      <c r="Z332">
        <v>1</v>
      </c>
      <c r="AA332">
        <v>100</v>
      </c>
      <c r="AB332" t="s">
        <v>31</v>
      </c>
    </row>
    <row r="333" spans="1:28">
      <c r="A333" t="str">
        <f>"600393"</f>
        <v>600393</v>
      </c>
      <c r="B333" t="s">
        <v>486</v>
      </c>
      <c r="C333">
        <v>0</v>
      </c>
      <c r="D333">
        <v>6.05</v>
      </c>
      <c r="E333">
        <v>0</v>
      </c>
      <c r="F333" t="s">
        <v>31</v>
      </c>
      <c r="G333" t="s">
        <v>31</v>
      </c>
      <c r="H333">
        <v>0</v>
      </c>
      <c r="I333">
        <v>0</v>
      </c>
      <c r="J333">
        <v>0</v>
      </c>
      <c r="K333">
        <v>0</v>
      </c>
      <c r="L333" t="s">
        <v>31</v>
      </c>
      <c r="M333" t="s">
        <v>31</v>
      </c>
      <c r="N333" t="s">
        <v>31</v>
      </c>
      <c r="O333">
        <v>6.05</v>
      </c>
      <c r="P333">
        <v>324.17</v>
      </c>
      <c r="Q333">
        <v>0</v>
      </c>
      <c r="R333">
        <v>0</v>
      </c>
      <c r="S333" t="s">
        <v>90</v>
      </c>
      <c r="T333" t="s">
        <v>34</v>
      </c>
      <c r="U333">
        <v>0</v>
      </c>
      <c r="V333">
        <v>6.05</v>
      </c>
      <c r="W333">
        <v>0</v>
      </c>
      <c r="X333">
        <v>0</v>
      </c>
      <c r="Y333" t="s">
        <v>31</v>
      </c>
      <c r="Z333">
        <v>0</v>
      </c>
      <c r="AA333">
        <v>0</v>
      </c>
      <c r="AB333" t="s">
        <v>31</v>
      </c>
    </row>
    <row r="334" spans="1:28">
      <c r="A334" t="str">
        <f>"600395"</f>
        <v>600395</v>
      </c>
      <c r="B334" t="s">
        <v>487</v>
      </c>
      <c r="C334">
        <v>1.43</v>
      </c>
      <c r="D334">
        <v>8.5399999999999991</v>
      </c>
      <c r="E334">
        <v>0.12</v>
      </c>
      <c r="F334">
        <v>8.5299999999999994</v>
      </c>
      <c r="G334">
        <v>8.5399999999999991</v>
      </c>
      <c r="H334">
        <v>44700</v>
      </c>
      <c r="I334">
        <v>4</v>
      </c>
      <c r="J334">
        <v>0.47</v>
      </c>
      <c r="K334">
        <v>0.27</v>
      </c>
      <c r="L334">
        <v>8.44</v>
      </c>
      <c r="M334">
        <v>8.6199999999999992</v>
      </c>
      <c r="N334">
        <v>8.4</v>
      </c>
      <c r="O334">
        <v>8.42</v>
      </c>
      <c r="P334">
        <v>29.67</v>
      </c>
      <c r="Q334">
        <v>38034472</v>
      </c>
      <c r="R334">
        <v>0.56000000000000005</v>
      </c>
      <c r="S334" t="s">
        <v>208</v>
      </c>
      <c r="T334" t="s">
        <v>195</v>
      </c>
      <c r="U334">
        <v>2.61</v>
      </c>
      <c r="V334">
        <v>8.51</v>
      </c>
      <c r="W334">
        <v>27338</v>
      </c>
      <c r="X334">
        <v>17362</v>
      </c>
      <c r="Y334">
        <v>1.57</v>
      </c>
      <c r="Z334">
        <v>472</v>
      </c>
      <c r="AA334">
        <v>744</v>
      </c>
      <c r="AB334" t="s">
        <v>31</v>
      </c>
    </row>
    <row r="335" spans="1:28">
      <c r="A335" t="str">
        <f>"600396"</f>
        <v>600396</v>
      </c>
      <c r="B335" t="s">
        <v>488</v>
      </c>
      <c r="C335">
        <v>4.24</v>
      </c>
      <c r="D335">
        <v>7.37</v>
      </c>
      <c r="E335">
        <v>0.3</v>
      </c>
      <c r="F335">
        <v>7.37</v>
      </c>
      <c r="G335">
        <v>7.38</v>
      </c>
      <c r="H335">
        <v>151797</v>
      </c>
      <c r="I335">
        <v>30</v>
      </c>
      <c r="J335">
        <v>0</v>
      </c>
      <c r="K335">
        <v>4.46</v>
      </c>
      <c r="L335">
        <v>6.98</v>
      </c>
      <c r="M335">
        <v>7.55</v>
      </c>
      <c r="N335">
        <v>6.98</v>
      </c>
      <c r="O335">
        <v>7.07</v>
      </c>
      <c r="P335">
        <v>10.11</v>
      </c>
      <c r="Q335">
        <v>111557088</v>
      </c>
      <c r="R335">
        <v>3.29</v>
      </c>
      <c r="S335" t="s">
        <v>49</v>
      </c>
      <c r="T335" t="s">
        <v>142</v>
      </c>
      <c r="U335">
        <v>8.06</v>
      </c>
      <c r="V335">
        <v>7.35</v>
      </c>
      <c r="W335">
        <v>63635</v>
      </c>
      <c r="X335">
        <v>88162</v>
      </c>
      <c r="Y335">
        <v>0.72</v>
      </c>
      <c r="Z335">
        <v>173</v>
      </c>
      <c r="AA335">
        <v>385</v>
      </c>
      <c r="AB335" t="s">
        <v>31</v>
      </c>
    </row>
    <row r="336" spans="1:28">
      <c r="A336" t="str">
        <f>"600397"</f>
        <v>600397</v>
      </c>
      <c r="B336" t="s">
        <v>489</v>
      </c>
      <c r="C336">
        <v>1.79</v>
      </c>
      <c r="D336">
        <v>4.5599999999999996</v>
      </c>
      <c r="E336">
        <v>0.08</v>
      </c>
      <c r="F336">
        <v>4.55</v>
      </c>
      <c r="G336">
        <v>4.5599999999999996</v>
      </c>
      <c r="H336">
        <v>39029</v>
      </c>
      <c r="I336">
        <v>5</v>
      </c>
      <c r="J336">
        <v>0.44</v>
      </c>
      <c r="K336">
        <v>0.6</v>
      </c>
      <c r="L336">
        <v>4.45</v>
      </c>
      <c r="M336">
        <v>4.57</v>
      </c>
      <c r="N336">
        <v>4.45</v>
      </c>
      <c r="O336">
        <v>4.4800000000000004</v>
      </c>
      <c r="P336">
        <v>21.45</v>
      </c>
      <c r="Q336">
        <v>17665176</v>
      </c>
      <c r="R336">
        <v>0.49</v>
      </c>
      <c r="S336" t="s">
        <v>208</v>
      </c>
      <c r="T336" t="s">
        <v>99</v>
      </c>
      <c r="U336">
        <v>2.68</v>
      </c>
      <c r="V336">
        <v>4.53</v>
      </c>
      <c r="W336">
        <v>17704</v>
      </c>
      <c r="X336">
        <v>21325</v>
      </c>
      <c r="Y336">
        <v>0.83</v>
      </c>
      <c r="Z336">
        <v>41</v>
      </c>
      <c r="AA336">
        <v>360</v>
      </c>
      <c r="AB336" t="s">
        <v>31</v>
      </c>
    </row>
    <row r="337" spans="1:28">
      <c r="A337" t="str">
        <f>"600398"</f>
        <v>600398</v>
      </c>
      <c r="B337" t="s">
        <v>490</v>
      </c>
      <c r="C337">
        <v>1.86</v>
      </c>
      <c r="D337">
        <v>5.48</v>
      </c>
      <c r="E337">
        <v>0.1</v>
      </c>
      <c r="F337">
        <v>5.48</v>
      </c>
      <c r="G337">
        <v>5.49</v>
      </c>
      <c r="H337">
        <v>64270</v>
      </c>
      <c r="I337">
        <v>1</v>
      </c>
      <c r="J337">
        <v>0.18</v>
      </c>
      <c r="K337">
        <v>0.99</v>
      </c>
      <c r="L337">
        <v>5.37</v>
      </c>
      <c r="M337">
        <v>5.49</v>
      </c>
      <c r="N337">
        <v>5.35</v>
      </c>
      <c r="O337">
        <v>5.38</v>
      </c>
      <c r="P337">
        <v>21.98</v>
      </c>
      <c r="Q337">
        <v>34904856</v>
      </c>
      <c r="R337">
        <v>0.33</v>
      </c>
      <c r="S337" t="s">
        <v>158</v>
      </c>
      <c r="T337" t="s">
        <v>120</v>
      </c>
      <c r="U337">
        <v>2.6</v>
      </c>
      <c r="V337">
        <v>5.43</v>
      </c>
      <c r="W337">
        <v>30020</v>
      </c>
      <c r="X337">
        <v>34250</v>
      </c>
      <c r="Y337">
        <v>0.88</v>
      </c>
      <c r="Z337">
        <v>1</v>
      </c>
      <c r="AA337">
        <v>76</v>
      </c>
      <c r="AB337" t="s">
        <v>31</v>
      </c>
    </row>
    <row r="338" spans="1:28">
      <c r="A338" t="str">
        <f>"600399"</f>
        <v>600399</v>
      </c>
      <c r="B338" t="s">
        <v>491</v>
      </c>
      <c r="C338">
        <v>10.02</v>
      </c>
      <c r="D338">
        <v>5.93</v>
      </c>
      <c r="E338">
        <v>0.54</v>
      </c>
      <c r="F338">
        <v>5.93</v>
      </c>
      <c r="G338" t="s">
        <v>31</v>
      </c>
      <c r="H338">
        <v>247694</v>
      </c>
      <c r="I338">
        <v>2</v>
      </c>
      <c r="J338">
        <v>0</v>
      </c>
      <c r="K338">
        <v>5.48</v>
      </c>
      <c r="L338">
        <v>5.36</v>
      </c>
      <c r="M338">
        <v>5.93</v>
      </c>
      <c r="N338">
        <v>5.29</v>
      </c>
      <c r="O338">
        <v>5.39</v>
      </c>
      <c r="P338">
        <v>145.82</v>
      </c>
      <c r="Q338">
        <v>144343968</v>
      </c>
      <c r="R338">
        <v>3.13</v>
      </c>
      <c r="S338" t="s">
        <v>202</v>
      </c>
      <c r="T338" t="s">
        <v>142</v>
      </c>
      <c r="U338">
        <v>11.87</v>
      </c>
      <c r="V338">
        <v>5.83</v>
      </c>
      <c r="W338">
        <v>162382</v>
      </c>
      <c r="X338">
        <v>85312</v>
      </c>
      <c r="Y338">
        <v>1.9</v>
      </c>
      <c r="Z338">
        <v>7038</v>
      </c>
      <c r="AA338">
        <v>0</v>
      </c>
      <c r="AB338" t="s">
        <v>31</v>
      </c>
    </row>
    <row r="339" spans="1:28">
      <c r="A339" t="str">
        <f>"600400"</f>
        <v>600400</v>
      </c>
      <c r="B339" t="s">
        <v>492</v>
      </c>
      <c r="C339">
        <v>0.63</v>
      </c>
      <c r="D339">
        <v>4.76</v>
      </c>
      <c r="E339">
        <v>0.03</v>
      </c>
      <c r="F339">
        <v>4.76</v>
      </c>
      <c r="G339">
        <v>4.7699999999999996</v>
      </c>
      <c r="H339">
        <v>70782</v>
      </c>
      <c r="I339">
        <v>30</v>
      </c>
      <c r="J339">
        <v>-0.2</v>
      </c>
      <c r="K339">
        <v>1.26</v>
      </c>
      <c r="L339">
        <v>4.67</v>
      </c>
      <c r="M339">
        <v>4.78</v>
      </c>
      <c r="N339">
        <v>4.6500000000000004</v>
      </c>
      <c r="O339">
        <v>4.7300000000000004</v>
      </c>
      <c r="P339">
        <v>91.05</v>
      </c>
      <c r="Q339">
        <v>33389368</v>
      </c>
      <c r="R339">
        <v>0.68</v>
      </c>
      <c r="S339" t="s">
        <v>158</v>
      </c>
      <c r="T339" t="s">
        <v>120</v>
      </c>
      <c r="U339">
        <v>2.75</v>
      </c>
      <c r="V339">
        <v>4.72</v>
      </c>
      <c r="W339">
        <v>35707</v>
      </c>
      <c r="X339">
        <v>35075</v>
      </c>
      <c r="Y339">
        <v>1.02</v>
      </c>
      <c r="Z339">
        <v>481</v>
      </c>
      <c r="AA339">
        <v>483</v>
      </c>
      <c r="AB339" t="s">
        <v>31</v>
      </c>
    </row>
    <row r="340" spans="1:28">
      <c r="A340" t="str">
        <f>"600401"</f>
        <v>600401</v>
      </c>
      <c r="B340" t="s">
        <v>493</v>
      </c>
      <c r="C340">
        <v>-0.44</v>
      </c>
      <c r="D340">
        <v>8.99</v>
      </c>
      <c r="E340">
        <v>-0.04</v>
      </c>
      <c r="F340">
        <v>9</v>
      </c>
      <c r="G340">
        <v>9.0399999999999991</v>
      </c>
      <c r="H340">
        <v>321977</v>
      </c>
      <c r="I340">
        <v>1204</v>
      </c>
      <c r="J340">
        <v>-0.88</v>
      </c>
      <c r="K340">
        <v>10.43</v>
      </c>
      <c r="L340">
        <v>8.85</v>
      </c>
      <c r="M340">
        <v>9.1300000000000008</v>
      </c>
      <c r="N340">
        <v>8.64</v>
      </c>
      <c r="O340">
        <v>9.0299999999999994</v>
      </c>
      <c r="P340" t="s">
        <v>31</v>
      </c>
      <c r="Q340">
        <v>286737408</v>
      </c>
      <c r="R340">
        <v>0.73</v>
      </c>
      <c r="S340" t="s">
        <v>241</v>
      </c>
      <c r="T340" t="s">
        <v>120</v>
      </c>
      <c r="U340">
        <v>5.43</v>
      </c>
      <c r="V340">
        <v>8.91</v>
      </c>
      <c r="W340">
        <v>165037</v>
      </c>
      <c r="X340">
        <v>156940</v>
      </c>
      <c r="Y340">
        <v>1.05</v>
      </c>
      <c r="Z340">
        <v>18</v>
      </c>
      <c r="AA340">
        <v>112</v>
      </c>
      <c r="AB340" t="s">
        <v>31</v>
      </c>
    </row>
    <row r="341" spans="1:28">
      <c r="A341" t="str">
        <f>"600403"</f>
        <v>600403</v>
      </c>
      <c r="B341" t="s">
        <v>494</v>
      </c>
      <c r="C341">
        <v>1.65</v>
      </c>
      <c r="D341">
        <v>9.84</v>
      </c>
      <c r="E341">
        <v>0.16</v>
      </c>
      <c r="F341">
        <v>9.81</v>
      </c>
      <c r="G341">
        <v>9.82</v>
      </c>
      <c r="H341">
        <v>71676</v>
      </c>
      <c r="I341">
        <v>38</v>
      </c>
      <c r="J341">
        <v>-0.1</v>
      </c>
      <c r="K341">
        <v>2.81</v>
      </c>
      <c r="L341">
        <v>9.61</v>
      </c>
      <c r="M341">
        <v>9.9700000000000006</v>
      </c>
      <c r="N341">
        <v>9.5500000000000007</v>
      </c>
      <c r="O341">
        <v>9.68</v>
      </c>
      <c r="P341">
        <v>15.74</v>
      </c>
      <c r="Q341">
        <v>70397224</v>
      </c>
      <c r="R341">
        <v>0.62</v>
      </c>
      <c r="S341" t="s">
        <v>208</v>
      </c>
      <c r="T341" t="s">
        <v>61</v>
      </c>
      <c r="U341">
        <v>4.34</v>
      </c>
      <c r="V341">
        <v>9.82</v>
      </c>
      <c r="W341">
        <v>40075</v>
      </c>
      <c r="X341">
        <v>31601</v>
      </c>
      <c r="Y341">
        <v>1.27</v>
      </c>
      <c r="Z341">
        <v>42</v>
      </c>
      <c r="AA341">
        <v>12</v>
      </c>
      <c r="AB341" t="s">
        <v>31</v>
      </c>
    </row>
    <row r="342" spans="1:28">
      <c r="A342" t="str">
        <f>"600405"</f>
        <v>600405</v>
      </c>
      <c r="B342" t="s">
        <v>495</v>
      </c>
      <c r="C342">
        <v>0.7</v>
      </c>
      <c r="D342">
        <v>8.66</v>
      </c>
      <c r="E342">
        <v>0.06</v>
      </c>
      <c r="F342">
        <v>8.66</v>
      </c>
      <c r="G342">
        <v>8.67</v>
      </c>
      <c r="H342">
        <v>23128</v>
      </c>
      <c r="I342">
        <v>2</v>
      </c>
      <c r="J342">
        <v>0.11</v>
      </c>
      <c r="K342">
        <v>0.91</v>
      </c>
      <c r="L342">
        <v>8.6</v>
      </c>
      <c r="M342">
        <v>8.74</v>
      </c>
      <c r="N342">
        <v>8.49</v>
      </c>
      <c r="O342">
        <v>8.6</v>
      </c>
      <c r="P342">
        <v>301.11</v>
      </c>
      <c r="Q342">
        <v>19903058</v>
      </c>
      <c r="R342">
        <v>0.3</v>
      </c>
      <c r="S342" t="s">
        <v>161</v>
      </c>
      <c r="T342" t="s">
        <v>42</v>
      </c>
      <c r="U342">
        <v>2.91</v>
      </c>
      <c r="V342">
        <v>8.61</v>
      </c>
      <c r="W342">
        <v>12062</v>
      </c>
      <c r="X342">
        <v>11066</v>
      </c>
      <c r="Y342">
        <v>1.0900000000000001</v>
      </c>
      <c r="Z342">
        <v>61</v>
      </c>
      <c r="AA342">
        <v>22</v>
      </c>
      <c r="AB342" t="s">
        <v>31</v>
      </c>
    </row>
    <row r="343" spans="1:28">
      <c r="A343" t="str">
        <f>"600406"</f>
        <v>600406</v>
      </c>
      <c r="B343" t="s">
        <v>496</v>
      </c>
      <c r="C343">
        <v>4.91</v>
      </c>
      <c r="D343">
        <v>12.83</v>
      </c>
      <c r="E343">
        <v>0.6</v>
      </c>
      <c r="F343">
        <v>12.83</v>
      </c>
      <c r="G343">
        <v>12.84</v>
      </c>
      <c r="H343">
        <v>266747</v>
      </c>
      <c r="I343">
        <v>89</v>
      </c>
      <c r="J343">
        <v>-7.0000000000000007E-2</v>
      </c>
      <c r="K343">
        <v>1.21</v>
      </c>
      <c r="L343">
        <v>12.31</v>
      </c>
      <c r="M343">
        <v>12.88</v>
      </c>
      <c r="N343">
        <v>12.18</v>
      </c>
      <c r="O343">
        <v>12.23</v>
      </c>
      <c r="P343">
        <v>34.07</v>
      </c>
      <c r="Q343">
        <v>338089216</v>
      </c>
      <c r="R343">
        <v>0.85</v>
      </c>
      <c r="S343" t="s">
        <v>383</v>
      </c>
      <c r="T343" t="s">
        <v>120</v>
      </c>
      <c r="U343">
        <v>5.72</v>
      </c>
      <c r="V343">
        <v>12.67</v>
      </c>
      <c r="W343">
        <v>128848</v>
      </c>
      <c r="X343">
        <v>137899</v>
      </c>
      <c r="Y343">
        <v>0.93</v>
      </c>
      <c r="Z343">
        <v>96</v>
      </c>
      <c r="AA343">
        <v>313</v>
      </c>
      <c r="AB343" t="s">
        <v>31</v>
      </c>
    </row>
    <row r="344" spans="1:28">
      <c r="A344" t="str">
        <f>"600408"</f>
        <v>600408</v>
      </c>
      <c r="B344" t="s">
        <v>497</v>
      </c>
      <c r="C344">
        <v>1.39</v>
      </c>
      <c r="D344">
        <v>2.92</v>
      </c>
      <c r="E344">
        <v>0.04</v>
      </c>
      <c r="F344">
        <v>2.92</v>
      </c>
      <c r="G344">
        <v>2.93</v>
      </c>
      <c r="H344">
        <v>43038</v>
      </c>
      <c r="I344">
        <v>115</v>
      </c>
      <c r="J344">
        <v>0</v>
      </c>
      <c r="K344">
        <v>0.43</v>
      </c>
      <c r="L344">
        <v>2.88</v>
      </c>
      <c r="M344">
        <v>2.93</v>
      </c>
      <c r="N344">
        <v>2.85</v>
      </c>
      <c r="O344">
        <v>2.88</v>
      </c>
      <c r="P344" t="s">
        <v>31</v>
      </c>
      <c r="Q344">
        <v>12488478</v>
      </c>
      <c r="R344">
        <v>0.7</v>
      </c>
      <c r="S344" t="s">
        <v>272</v>
      </c>
      <c r="T344" t="s">
        <v>212</v>
      </c>
      <c r="U344">
        <v>2.78</v>
      </c>
      <c r="V344">
        <v>2.9</v>
      </c>
      <c r="W344">
        <v>19244</v>
      </c>
      <c r="X344">
        <v>23794</v>
      </c>
      <c r="Y344">
        <v>0.81</v>
      </c>
      <c r="Z344">
        <v>734</v>
      </c>
      <c r="AA344">
        <v>1479</v>
      </c>
      <c r="AB344" t="s">
        <v>31</v>
      </c>
    </row>
    <row r="345" spans="1:28">
      <c r="A345" t="str">
        <f>"600409"</f>
        <v>600409</v>
      </c>
      <c r="B345" t="s">
        <v>498</v>
      </c>
      <c r="C345">
        <v>-0.41</v>
      </c>
      <c r="D345">
        <v>4.82</v>
      </c>
      <c r="E345">
        <v>-0.02</v>
      </c>
      <c r="F345">
        <v>4.82</v>
      </c>
      <c r="G345">
        <v>4.83</v>
      </c>
      <c r="H345">
        <v>86987</v>
      </c>
      <c r="I345">
        <v>71</v>
      </c>
      <c r="J345">
        <v>0</v>
      </c>
      <c r="K345">
        <v>0.52</v>
      </c>
      <c r="L345">
        <v>4.8099999999999996</v>
      </c>
      <c r="M345">
        <v>4.8600000000000003</v>
      </c>
      <c r="N345">
        <v>4.76</v>
      </c>
      <c r="O345">
        <v>4.84</v>
      </c>
      <c r="P345">
        <v>23.95</v>
      </c>
      <c r="Q345">
        <v>41843556</v>
      </c>
      <c r="R345">
        <v>0.71</v>
      </c>
      <c r="S345" t="s">
        <v>137</v>
      </c>
      <c r="T345" t="s">
        <v>224</v>
      </c>
      <c r="U345">
        <v>2.0699999999999998</v>
      </c>
      <c r="V345">
        <v>4.8099999999999996</v>
      </c>
      <c r="W345">
        <v>42241</v>
      </c>
      <c r="X345">
        <v>44746</v>
      </c>
      <c r="Y345">
        <v>0.94</v>
      </c>
      <c r="Z345">
        <v>330</v>
      </c>
      <c r="AA345">
        <v>608</v>
      </c>
      <c r="AB345" t="s">
        <v>31</v>
      </c>
    </row>
    <row r="346" spans="1:28">
      <c r="A346" t="str">
        <f>"600410"</f>
        <v>600410</v>
      </c>
      <c r="B346" t="s">
        <v>499</v>
      </c>
      <c r="C346">
        <v>3.06</v>
      </c>
      <c r="D346">
        <v>7.07</v>
      </c>
      <c r="E346">
        <v>0.21</v>
      </c>
      <c r="F346">
        <v>7.04</v>
      </c>
      <c r="G346">
        <v>7.05</v>
      </c>
      <c r="H346">
        <v>68151</v>
      </c>
      <c r="I346">
        <v>5</v>
      </c>
      <c r="J346">
        <v>0.56000000000000005</v>
      </c>
      <c r="K346">
        <v>1.07</v>
      </c>
      <c r="L346">
        <v>6.9</v>
      </c>
      <c r="M346">
        <v>7.09</v>
      </c>
      <c r="N346">
        <v>6.87</v>
      </c>
      <c r="O346">
        <v>6.86</v>
      </c>
      <c r="P346">
        <v>41.18</v>
      </c>
      <c r="Q346">
        <v>47462928</v>
      </c>
      <c r="R346">
        <v>0.66</v>
      </c>
      <c r="S346" t="s">
        <v>383</v>
      </c>
      <c r="T346" t="s">
        <v>42</v>
      </c>
      <c r="U346">
        <v>3.21</v>
      </c>
      <c r="V346">
        <v>6.96</v>
      </c>
      <c r="W346">
        <v>30842</v>
      </c>
      <c r="X346">
        <v>37309</v>
      </c>
      <c r="Y346">
        <v>0.83</v>
      </c>
      <c r="Z346">
        <v>209</v>
      </c>
      <c r="AA346">
        <v>25</v>
      </c>
      <c r="AB346" t="s">
        <v>31</v>
      </c>
    </row>
    <row r="347" spans="1:28">
      <c r="A347" t="str">
        <f>"600415"</f>
        <v>600415</v>
      </c>
      <c r="B347" t="s">
        <v>500</v>
      </c>
      <c r="C347">
        <v>0.6</v>
      </c>
      <c r="D347">
        <v>6.75</v>
      </c>
      <c r="E347">
        <v>0.04</v>
      </c>
      <c r="F347">
        <v>6.75</v>
      </c>
      <c r="G347">
        <v>6.76</v>
      </c>
      <c r="H347">
        <v>202822</v>
      </c>
      <c r="I347">
        <v>24</v>
      </c>
      <c r="J347">
        <v>0</v>
      </c>
      <c r="K347">
        <v>0.75</v>
      </c>
      <c r="L347">
        <v>6.74</v>
      </c>
      <c r="M347">
        <v>6.76</v>
      </c>
      <c r="N347">
        <v>6.57</v>
      </c>
      <c r="O347">
        <v>6.71</v>
      </c>
      <c r="P347">
        <v>22.33</v>
      </c>
      <c r="Q347">
        <v>135834288</v>
      </c>
      <c r="R347">
        <v>0.59</v>
      </c>
      <c r="S347" t="s">
        <v>501</v>
      </c>
      <c r="T347" t="s">
        <v>95</v>
      </c>
      <c r="U347">
        <v>2.83</v>
      </c>
      <c r="V347">
        <v>6.7</v>
      </c>
      <c r="W347">
        <v>111451</v>
      </c>
      <c r="X347">
        <v>91371</v>
      </c>
      <c r="Y347">
        <v>1.22</v>
      </c>
      <c r="Z347">
        <v>6</v>
      </c>
      <c r="AA347">
        <v>814</v>
      </c>
      <c r="AB347" t="s">
        <v>31</v>
      </c>
    </row>
    <row r="348" spans="1:28">
      <c r="A348" t="str">
        <f>"600416"</f>
        <v>600416</v>
      </c>
      <c r="B348" t="s">
        <v>502</v>
      </c>
      <c r="C348">
        <v>0.78</v>
      </c>
      <c r="D348">
        <v>6.43</v>
      </c>
      <c r="E348">
        <v>0.05</v>
      </c>
      <c r="F348">
        <v>6.43</v>
      </c>
      <c r="G348">
        <v>6.44</v>
      </c>
      <c r="H348">
        <v>69226</v>
      </c>
      <c r="I348">
        <v>5</v>
      </c>
      <c r="J348">
        <v>0</v>
      </c>
      <c r="K348">
        <v>1.1399999999999999</v>
      </c>
      <c r="L348">
        <v>6.4</v>
      </c>
      <c r="M348">
        <v>6.44</v>
      </c>
      <c r="N348">
        <v>6.24</v>
      </c>
      <c r="O348">
        <v>6.38</v>
      </c>
      <c r="P348">
        <v>129.72</v>
      </c>
      <c r="Q348">
        <v>43765576</v>
      </c>
      <c r="R348">
        <v>0.97</v>
      </c>
      <c r="S348" t="s">
        <v>161</v>
      </c>
      <c r="T348" t="s">
        <v>76</v>
      </c>
      <c r="U348">
        <v>3.13</v>
      </c>
      <c r="V348">
        <v>6.32</v>
      </c>
      <c r="W348">
        <v>36470</v>
      </c>
      <c r="X348">
        <v>32756</v>
      </c>
      <c r="Y348">
        <v>1.1100000000000001</v>
      </c>
      <c r="Z348">
        <v>10</v>
      </c>
      <c r="AA348">
        <v>298</v>
      </c>
      <c r="AB348" t="s">
        <v>31</v>
      </c>
    </row>
    <row r="349" spans="1:28">
      <c r="A349" t="str">
        <f>"600418"</f>
        <v>600418</v>
      </c>
      <c r="B349" t="s">
        <v>503</v>
      </c>
      <c r="C349">
        <v>1.68</v>
      </c>
      <c r="D349">
        <v>8.4499999999999993</v>
      </c>
      <c r="E349">
        <v>0.14000000000000001</v>
      </c>
      <c r="F349">
        <v>8.44</v>
      </c>
      <c r="G349">
        <v>8.4499999999999993</v>
      </c>
      <c r="H349">
        <v>227712</v>
      </c>
      <c r="I349">
        <v>10</v>
      </c>
      <c r="J349">
        <v>-0.11</v>
      </c>
      <c r="K349">
        <v>2.13</v>
      </c>
      <c r="L349">
        <v>8.2799999999999994</v>
      </c>
      <c r="M349">
        <v>8.58</v>
      </c>
      <c r="N349">
        <v>8.15</v>
      </c>
      <c r="O349">
        <v>8.31</v>
      </c>
      <c r="P349">
        <v>10.94</v>
      </c>
      <c r="Q349">
        <v>191290800</v>
      </c>
      <c r="R349">
        <v>1.28</v>
      </c>
      <c r="S349" t="s">
        <v>39</v>
      </c>
      <c r="T349" t="s">
        <v>52</v>
      </c>
      <c r="U349">
        <v>5.17</v>
      </c>
      <c r="V349">
        <v>8.4</v>
      </c>
      <c r="W349">
        <v>101285</v>
      </c>
      <c r="X349">
        <v>126427</v>
      </c>
      <c r="Y349">
        <v>0.8</v>
      </c>
      <c r="Z349">
        <v>372</v>
      </c>
      <c r="AA349">
        <v>4</v>
      </c>
      <c r="AB349" t="s">
        <v>31</v>
      </c>
    </row>
    <row r="350" spans="1:28">
      <c r="A350" t="str">
        <f>"600419"</f>
        <v>600419</v>
      </c>
      <c r="B350" t="s">
        <v>504</v>
      </c>
      <c r="C350">
        <v>0.51</v>
      </c>
      <c r="D350">
        <v>17.829999999999998</v>
      </c>
      <c r="E350">
        <v>0.09</v>
      </c>
      <c r="F350">
        <v>17.79</v>
      </c>
      <c r="G350">
        <v>17.86</v>
      </c>
      <c r="H350">
        <v>27151</v>
      </c>
      <c r="I350">
        <v>10</v>
      </c>
      <c r="J350">
        <v>-0.11</v>
      </c>
      <c r="K350">
        <v>3.39</v>
      </c>
      <c r="L350">
        <v>17.690000000000001</v>
      </c>
      <c r="M350">
        <v>17.98</v>
      </c>
      <c r="N350">
        <v>17.29</v>
      </c>
      <c r="O350">
        <v>17.739999999999998</v>
      </c>
      <c r="P350" t="s">
        <v>31</v>
      </c>
      <c r="Q350">
        <v>48011928</v>
      </c>
      <c r="R350">
        <v>0.56999999999999995</v>
      </c>
      <c r="S350" t="s">
        <v>125</v>
      </c>
      <c r="T350" t="s">
        <v>138</v>
      </c>
      <c r="U350">
        <v>3.89</v>
      </c>
      <c r="V350">
        <v>17.68</v>
      </c>
      <c r="W350">
        <v>15619</v>
      </c>
      <c r="X350">
        <v>11532</v>
      </c>
      <c r="Y350">
        <v>1.35</v>
      </c>
      <c r="Z350">
        <v>53</v>
      </c>
      <c r="AA350">
        <v>10</v>
      </c>
      <c r="AB350" t="s">
        <v>31</v>
      </c>
    </row>
    <row r="351" spans="1:28">
      <c r="A351" t="str">
        <f>"600420"</f>
        <v>600420</v>
      </c>
      <c r="B351" t="s">
        <v>505</v>
      </c>
      <c r="C351">
        <v>1.91</v>
      </c>
      <c r="D351">
        <v>15.49</v>
      </c>
      <c r="E351">
        <v>0.28999999999999998</v>
      </c>
      <c r="F351">
        <v>15.47</v>
      </c>
      <c r="G351">
        <v>15.5</v>
      </c>
      <c r="H351">
        <v>19589</v>
      </c>
      <c r="I351">
        <v>2</v>
      </c>
      <c r="J351">
        <v>-0.19</v>
      </c>
      <c r="K351">
        <v>0.68</v>
      </c>
      <c r="L351">
        <v>15.21</v>
      </c>
      <c r="M351">
        <v>15.68</v>
      </c>
      <c r="N351">
        <v>15.2</v>
      </c>
      <c r="O351">
        <v>15.2</v>
      </c>
      <c r="P351">
        <v>37.799999999999997</v>
      </c>
      <c r="Q351">
        <v>30298950</v>
      </c>
      <c r="R351">
        <v>0.63</v>
      </c>
      <c r="S351" t="s">
        <v>117</v>
      </c>
      <c r="T351" t="s">
        <v>30</v>
      </c>
      <c r="U351">
        <v>3.16</v>
      </c>
      <c r="V351">
        <v>15.47</v>
      </c>
      <c r="W351">
        <v>11471</v>
      </c>
      <c r="X351">
        <v>8118</v>
      </c>
      <c r="Y351">
        <v>1.41</v>
      </c>
      <c r="Z351">
        <v>3</v>
      </c>
      <c r="AA351">
        <v>623</v>
      </c>
      <c r="AB351" t="s">
        <v>31</v>
      </c>
    </row>
    <row r="352" spans="1:28">
      <c r="A352" t="str">
        <f>"600421"</f>
        <v>600421</v>
      </c>
      <c r="B352" t="s">
        <v>506</v>
      </c>
      <c r="C352">
        <v>0</v>
      </c>
      <c r="D352">
        <v>6.43</v>
      </c>
      <c r="E352">
        <v>0</v>
      </c>
      <c r="F352">
        <v>6.41</v>
      </c>
      <c r="G352">
        <v>6.42</v>
      </c>
      <c r="H352">
        <v>37232</v>
      </c>
      <c r="I352">
        <v>69</v>
      </c>
      <c r="J352">
        <v>0.15</v>
      </c>
      <c r="K352">
        <v>1.9</v>
      </c>
      <c r="L352">
        <v>6.46</v>
      </c>
      <c r="M352">
        <v>6.53</v>
      </c>
      <c r="N352">
        <v>6.35</v>
      </c>
      <c r="O352">
        <v>6.43</v>
      </c>
      <c r="P352">
        <v>62.28</v>
      </c>
      <c r="Q352">
        <v>23884580</v>
      </c>
      <c r="R352">
        <v>1.03</v>
      </c>
      <c r="S352" t="s">
        <v>145</v>
      </c>
      <c r="T352" t="s">
        <v>37</v>
      </c>
      <c r="U352">
        <v>2.8</v>
      </c>
      <c r="V352">
        <v>6.41</v>
      </c>
      <c r="W352">
        <v>20753</v>
      </c>
      <c r="X352">
        <v>16479</v>
      </c>
      <c r="Y352">
        <v>1.26</v>
      </c>
      <c r="Z352">
        <v>134</v>
      </c>
      <c r="AA352">
        <v>285</v>
      </c>
      <c r="AB352" t="s">
        <v>31</v>
      </c>
    </row>
    <row r="353" spans="1:28">
      <c r="A353" t="str">
        <f>"600422"</f>
        <v>600422</v>
      </c>
      <c r="B353" t="s">
        <v>507</v>
      </c>
      <c r="C353">
        <v>0.22</v>
      </c>
      <c r="D353">
        <v>23.19</v>
      </c>
      <c r="E353">
        <v>0.05</v>
      </c>
      <c r="F353">
        <v>23.17</v>
      </c>
      <c r="G353">
        <v>23.19</v>
      </c>
      <c r="H353">
        <v>23357</v>
      </c>
      <c r="I353">
        <v>51</v>
      </c>
      <c r="J353">
        <v>0</v>
      </c>
      <c r="K353">
        <v>0.69</v>
      </c>
      <c r="L353">
        <v>23</v>
      </c>
      <c r="M353">
        <v>23.3</v>
      </c>
      <c r="N353">
        <v>22.65</v>
      </c>
      <c r="O353">
        <v>23.14</v>
      </c>
      <c r="P353">
        <v>36.26</v>
      </c>
      <c r="Q353">
        <v>53650912</v>
      </c>
      <c r="R353">
        <v>0.71</v>
      </c>
      <c r="S353" t="s">
        <v>156</v>
      </c>
      <c r="T353" t="s">
        <v>170</v>
      </c>
      <c r="U353">
        <v>2.81</v>
      </c>
      <c r="V353">
        <v>22.97</v>
      </c>
      <c r="W353">
        <v>9891</v>
      </c>
      <c r="X353">
        <v>13466</v>
      </c>
      <c r="Y353">
        <v>0.73</v>
      </c>
      <c r="Z353">
        <v>3</v>
      </c>
      <c r="AA353">
        <v>3</v>
      </c>
      <c r="AB353" t="s">
        <v>31</v>
      </c>
    </row>
    <row r="354" spans="1:28">
      <c r="A354" t="str">
        <f>"600423"</f>
        <v>600423</v>
      </c>
      <c r="B354" t="s">
        <v>508</v>
      </c>
      <c r="C354">
        <v>1.1599999999999999</v>
      </c>
      <c r="D354">
        <v>4.3499999999999996</v>
      </c>
      <c r="E354">
        <v>0.05</v>
      </c>
      <c r="F354">
        <v>4.34</v>
      </c>
      <c r="G354">
        <v>4.3600000000000003</v>
      </c>
      <c r="H354">
        <v>22772</v>
      </c>
      <c r="I354">
        <v>31</v>
      </c>
      <c r="J354">
        <v>0.23</v>
      </c>
      <c r="K354">
        <v>0.56999999999999995</v>
      </c>
      <c r="L354">
        <v>4.3</v>
      </c>
      <c r="M354">
        <v>4.3600000000000003</v>
      </c>
      <c r="N354">
        <v>4.26</v>
      </c>
      <c r="O354">
        <v>4.3</v>
      </c>
      <c r="P354" t="s">
        <v>31</v>
      </c>
      <c r="Q354">
        <v>9835999</v>
      </c>
      <c r="R354">
        <v>0.51</v>
      </c>
      <c r="S354" t="s">
        <v>169</v>
      </c>
      <c r="T354" t="s">
        <v>333</v>
      </c>
      <c r="U354">
        <v>2.33</v>
      </c>
      <c r="V354">
        <v>4.32</v>
      </c>
      <c r="W354">
        <v>10460</v>
      </c>
      <c r="X354">
        <v>12312</v>
      </c>
      <c r="Y354">
        <v>0.85</v>
      </c>
      <c r="Z354">
        <v>665</v>
      </c>
      <c r="AA354">
        <v>259</v>
      </c>
      <c r="AB354" t="s">
        <v>31</v>
      </c>
    </row>
    <row r="355" spans="1:28">
      <c r="A355" t="str">
        <f>"600425"</f>
        <v>600425</v>
      </c>
      <c r="B355" t="s">
        <v>509</v>
      </c>
      <c r="C355">
        <v>3.26</v>
      </c>
      <c r="D355">
        <v>3.8</v>
      </c>
      <c r="E355">
        <v>0.12</v>
      </c>
      <c r="F355">
        <v>3.78</v>
      </c>
      <c r="G355">
        <v>3.79</v>
      </c>
      <c r="H355">
        <v>53774</v>
      </c>
      <c r="I355">
        <v>10</v>
      </c>
      <c r="J355">
        <v>0</v>
      </c>
      <c r="K355">
        <v>0.39</v>
      </c>
      <c r="L355">
        <v>3.67</v>
      </c>
      <c r="M355">
        <v>3.82</v>
      </c>
      <c r="N355">
        <v>3.62</v>
      </c>
      <c r="O355">
        <v>3.68</v>
      </c>
      <c r="P355">
        <v>542.75</v>
      </c>
      <c r="Q355">
        <v>20061508</v>
      </c>
      <c r="R355">
        <v>0.72</v>
      </c>
      <c r="S355" t="s">
        <v>312</v>
      </c>
      <c r="T355" t="s">
        <v>138</v>
      </c>
      <c r="U355">
        <v>5.43</v>
      </c>
      <c r="V355">
        <v>3.73</v>
      </c>
      <c r="W355">
        <v>21890</v>
      </c>
      <c r="X355">
        <v>31884</v>
      </c>
      <c r="Y355">
        <v>0.69</v>
      </c>
      <c r="Z355">
        <v>371</v>
      </c>
      <c r="AA355">
        <v>914</v>
      </c>
      <c r="AB355" t="s">
        <v>31</v>
      </c>
    </row>
    <row r="356" spans="1:28">
      <c r="A356" t="str">
        <f>"600426"</f>
        <v>600426</v>
      </c>
      <c r="B356" t="s">
        <v>510</v>
      </c>
      <c r="C356">
        <v>4.55</v>
      </c>
      <c r="D356">
        <v>6.44</v>
      </c>
      <c r="E356">
        <v>0.28000000000000003</v>
      </c>
      <c r="F356">
        <v>6.44</v>
      </c>
      <c r="G356">
        <v>6.45</v>
      </c>
      <c r="H356">
        <v>362266</v>
      </c>
      <c r="I356">
        <v>39</v>
      </c>
      <c r="J356">
        <v>0</v>
      </c>
      <c r="K356">
        <v>3.8</v>
      </c>
      <c r="L356">
        <v>6.14</v>
      </c>
      <c r="M356">
        <v>6.48</v>
      </c>
      <c r="N356">
        <v>6.11</v>
      </c>
      <c r="O356">
        <v>6.16</v>
      </c>
      <c r="P356">
        <v>16.16</v>
      </c>
      <c r="Q356">
        <v>230131184</v>
      </c>
      <c r="R356">
        <v>2.27</v>
      </c>
      <c r="S356" t="s">
        <v>169</v>
      </c>
      <c r="T356" t="s">
        <v>57</v>
      </c>
      <c r="U356">
        <v>6.01</v>
      </c>
      <c r="V356">
        <v>6.35</v>
      </c>
      <c r="W356">
        <v>159731</v>
      </c>
      <c r="X356">
        <v>202535</v>
      </c>
      <c r="Y356">
        <v>0.79</v>
      </c>
      <c r="Z356">
        <v>582</v>
      </c>
      <c r="AA356">
        <v>4243</v>
      </c>
      <c r="AB356" t="s">
        <v>31</v>
      </c>
    </row>
    <row r="357" spans="1:28">
      <c r="A357" t="str">
        <f>"600428"</f>
        <v>600428</v>
      </c>
      <c r="B357" t="s">
        <v>511</v>
      </c>
      <c r="C357">
        <v>2.09</v>
      </c>
      <c r="D357">
        <v>3.42</v>
      </c>
      <c r="E357">
        <v>7.0000000000000007E-2</v>
      </c>
      <c r="F357">
        <v>3.41</v>
      </c>
      <c r="G357">
        <v>3.42</v>
      </c>
      <c r="H357">
        <v>66669</v>
      </c>
      <c r="I357">
        <v>186</v>
      </c>
      <c r="J357">
        <v>0</v>
      </c>
      <c r="K357">
        <v>0.39</v>
      </c>
      <c r="L357">
        <v>3.34</v>
      </c>
      <c r="M357">
        <v>3.44</v>
      </c>
      <c r="N357">
        <v>3.31</v>
      </c>
      <c r="O357">
        <v>3.35</v>
      </c>
      <c r="P357" t="s">
        <v>31</v>
      </c>
      <c r="Q357">
        <v>22481204</v>
      </c>
      <c r="R357">
        <v>0.83</v>
      </c>
      <c r="S357" t="s">
        <v>65</v>
      </c>
      <c r="T357" t="s">
        <v>34</v>
      </c>
      <c r="U357">
        <v>3.88</v>
      </c>
      <c r="V357">
        <v>3.37</v>
      </c>
      <c r="W357">
        <v>28780</v>
      </c>
      <c r="X357">
        <v>37889</v>
      </c>
      <c r="Y357">
        <v>0.76</v>
      </c>
      <c r="Z357">
        <v>304</v>
      </c>
      <c r="AA357">
        <v>84</v>
      </c>
      <c r="AB357" t="s">
        <v>31</v>
      </c>
    </row>
    <row r="358" spans="1:28">
      <c r="A358" t="str">
        <f>"600429"</f>
        <v>600429</v>
      </c>
      <c r="B358" t="s">
        <v>512</v>
      </c>
      <c r="C358">
        <v>1.66</v>
      </c>
      <c r="D358">
        <v>9.19</v>
      </c>
      <c r="E358">
        <v>0.15</v>
      </c>
      <c r="F358">
        <v>9.19</v>
      </c>
      <c r="G358">
        <v>9.1999999999999993</v>
      </c>
      <c r="H358">
        <v>99282</v>
      </c>
      <c r="I358">
        <v>29</v>
      </c>
      <c r="J358">
        <v>0.21</v>
      </c>
      <c r="K358">
        <v>1.1200000000000001</v>
      </c>
      <c r="L358">
        <v>8.99</v>
      </c>
      <c r="M358">
        <v>9.31</v>
      </c>
      <c r="N358">
        <v>8.7799999999999994</v>
      </c>
      <c r="O358">
        <v>9.0399999999999991</v>
      </c>
      <c r="P358" t="s">
        <v>31</v>
      </c>
      <c r="Q358">
        <v>90470184</v>
      </c>
      <c r="R358">
        <v>0.5</v>
      </c>
      <c r="S358" t="s">
        <v>513</v>
      </c>
      <c r="T358" t="s">
        <v>42</v>
      </c>
      <c r="U358">
        <v>5.86</v>
      </c>
      <c r="V358">
        <v>9.11</v>
      </c>
      <c r="W358">
        <v>49107</v>
      </c>
      <c r="X358">
        <v>50175</v>
      </c>
      <c r="Y358">
        <v>0.98</v>
      </c>
      <c r="Z358">
        <v>45</v>
      </c>
      <c r="AA358">
        <v>1934</v>
      </c>
      <c r="AB358" t="s">
        <v>31</v>
      </c>
    </row>
    <row r="359" spans="1:28">
      <c r="A359" t="str">
        <f>"600432"</f>
        <v>600432</v>
      </c>
      <c r="B359" t="s">
        <v>514</v>
      </c>
      <c r="C359">
        <v>0.94</v>
      </c>
      <c r="D359">
        <v>8.56</v>
      </c>
      <c r="E359">
        <v>0.08</v>
      </c>
      <c r="F359">
        <v>8.56</v>
      </c>
      <c r="G359">
        <v>8.57</v>
      </c>
      <c r="H359">
        <v>16422</v>
      </c>
      <c r="I359">
        <v>101</v>
      </c>
      <c r="J359">
        <v>0.46</v>
      </c>
      <c r="K359">
        <v>0.2</v>
      </c>
      <c r="L359">
        <v>8.5</v>
      </c>
      <c r="M359">
        <v>8.57</v>
      </c>
      <c r="N359">
        <v>8.41</v>
      </c>
      <c r="O359">
        <v>8.48</v>
      </c>
      <c r="P359" t="s">
        <v>31</v>
      </c>
      <c r="Q359">
        <v>13968668</v>
      </c>
      <c r="R359">
        <v>0.56999999999999995</v>
      </c>
      <c r="S359" t="s">
        <v>193</v>
      </c>
      <c r="T359" t="s">
        <v>191</v>
      </c>
      <c r="U359">
        <v>1.89</v>
      </c>
      <c r="V359">
        <v>8.51</v>
      </c>
      <c r="W359">
        <v>7799</v>
      </c>
      <c r="X359">
        <v>8623</v>
      </c>
      <c r="Y359">
        <v>0.9</v>
      </c>
      <c r="Z359">
        <v>21</v>
      </c>
      <c r="AA359">
        <v>20</v>
      </c>
      <c r="AB359" t="s">
        <v>31</v>
      </c>
    </row>
    <row r="360" spans="1:28">
      <c r="A360" t="str">
        <f>"600433"</f>
        <v>600433</v>
      </c>
      <c r="B360" t="s">
        <v>515</v>
      </c>
      <c r="C360">
        <v>-7.28</v>
      </c>
      <c r="D360">
        <v>11.84</v>
      </c>
      <c r="E360">
        <v>-0.93</v>
      </c>
      <c r="F360">
        <v>11.85</v>
      </c>
      <c r="G360">
        <v>11.87</v>
      </c>
      <c r="H360">
        <v>509990</v>
      </c>
      <c r="I360">
        <v>28</v>
      </c>
      <c r="J360">
        <v>0.42</v>
      </c>
      <c r="K360">
        <v>4.6100000000000003</v>
      </c>
      <c r="L360">
        <v>11.56</v>
      </c>
      <c r="M360">
        <v>12.6</v>
      </c>
      <c r="N360">
        <v>11.56</v>
      </c>
      <c r="O360">
        <v>12.77</v>
      </c>
      <c r="P360">
        <v>76.31</v>
      </c>
      <c r="Q360">
        <v>607339776</v>
      </c>
      <c r="R360">
        <v>1.77</v>
      </c>
      <c r="S360" t="s">
        <v>125</v>
      </c>
      <c r="T360" t="s">
        <v>34</v>
      </c>
      <c r="U360">
        <v>8.14</v>
      </c>
      <c r="V360">
        <v>11.91</v>
      </c>
      <c r="W360">
        <v>265452</v>
      </c>
      <c r="X360">
        <v>244538</v>
      </c>
      <c r="Y360">
        <v>1.0900000000000001</v>
      </c>
      <c r="Z360">
        <v>72</v>
      </c>
      <c r="AA360">
        <v>8</v>
      </c>
      <c r="AB360" t="s">
        <v>31</v>
      </c>
    </row>
    <row r="361" spans="1:28">
      <c r="A361" t="str">
        <f>"600435"</f>
        <v>600435</v>
      </c>
      <c r="B361" t="s">
        <v>516</v>
      </c>
      <c r="C361">
        <v>3.38</v>
      </c>
      <c r="D361">
        <v>13.17</v>
      </c>
      <c r="E361">
        <v>0.43</v>
      </c>
      <c r="F361">
        <v>13.16</v>
      </c>
      <c r="G361">
        <v>13.17</v>
      </c>
      <c r="H361">
        <v>109548</v>
      </c>
      <c r="I361">
        <v>97</v>
      </c>
      <c r="J361">
        <v>0.22</v>
      </c>
      <c r="K361">
        <v>1.47</v>
      </c>
      <c r="L361">
        <v>12.77</v>
      </c>
      <c r="M361">
        <v>13.38</v>
      </c>
      <c r="N361">
        <v>12.61</v>
      </c>
      <c r="O361">
        <v>12.74</v>
      </c>
      <c r="P361">
        <v>1949.43</v>
      </c>
      <c r="Q361">
        <v>142363904</v>
      </c>
      <c r="R361">
        <v>1.01</v>
      </c>
      <c r="S361" t="s">
        <v>481</v>
      </c>
      <c r="T361" t="s">
        <v>42</v>
      </c>
      <c r="U361">
        <v>6.04</v>
      </c>
      <c r="V361">
        <v>13</v>
      </c>
      <c r="W361">
        <v>49056</v>
      </c>
      <c r="X361">
        <v>60492</v>
      </c>
      <c r="Y361">
        <v>0.81</v>
      </c>
      <c r="Z361">
        <v>77</v>
      </c>
      <c r="AA361">
        <v>230</v>
      </c>
      <c r="AB361" t="s">
        <v>31</v>
      </c>
    </row>
    <row r="362" spans="1:28">
      <c r="A362" t="str">
        <f>"600436"</f>
        <v>600436</v>
      </c>
      <c r="B362" t="s">
        <v>517</v>
      </c>
      <c r="C362">
        <v>-1.8</v>
      </c>
      <c r="D362">
        <v>105.02</v>
      </c>
      <c r="E362">
        <v>-1.93</v>
      </c>
      <c r="F362">
        <v>105</v>
      </c>
      <c r="G362">
        <v>105.08</v>
      </c>
      <c r="H362">
        <v>12388</v>
      </c>
      <c r="I362">
        <v>1</v>
      </c>
      <c r="J362">
        <v>0.31</v>
      </c>
      <c r="K362">
        <v>0.77</v>
      </c>
      <c r="L362">
        <v>107.18</v>
      </c>
      <c r="M362">
        <v>107.5</v>
      </c>
      <c r="N362">
        <v>104.3</v>
      </c>
      <c r="O362">
        <v>106.95</v>
      </c>
      <c r="P362">
        <v>35.69</v>
      </c>
      <c r="Q362">
        <v>130510992</v>
      </c>
      <c r="R362">
        <v>1.32</v>
      </c>
      <c r="S362" t="s">
        <v>156</v>
      </c>
      <c r="T362" t="s">
        <v>78</v>
      </c>
      <c r="U362">
        <v>2.99</v>
      </c>
      <c r="V362">
        <v>105.35</v>
      </c>
      <c r="W362">
        <v>6604</v>
      </c>
      <c r="X362">
        <v>5784</v>
      </c>
      <c r="Y362">
        <v>1.1399999999999999</v>
      </c>
      <c r="Z362">
        <v>13</v>
      </c>
      <c r="AA362">
        <v>6</v>
      </c>
      <c r="AB362" t="s">
        <v>31</v>
      </c>
    </row>
    <row r="363" spans="1:28">
      <c r="A363" t="str">
        <f>"600438"</f>
        <v>600438</v>
      </c>
      <c r="B363" t="s">
        <v>518</v>
      </c>
      <c r="C363">
        <v>3.85</v>
      </c>
      <c r="D363">
        <v>7.29</v>
      </c>
      <c r="E363">
        <v>0.27</v>
      </c>
      <c r="F363">
        <v>7.28</v>
      </c>
      <c r="G363">
        <v>7.29</v>
      </c>
      <c r="H363">
        <v>89532</v>
      </c>
      <c r="I363">
        <v>118</v>
      </c>
      <c r="J363">
        <v>0.13</v>
      </c>
      <c r="K363">
        <v>1.3</v>
      </c>
      <c r="L363">
        <v>6.93</v>
      </c>
      <c r="M363">
        <v>7.3</v>
      </c>
      <c r="N363">
        <v>6.93</v>
      </c>
      <c r="O363">
        <v>7.02</v>
      </c>
      <c r="P363">
        <v>15.37</v>
      </c>
      <c r="Q363">
        <v>64565072</v>
      </c>
      <c r="R363">
        <v>1.24</v>
      </c>
      <c r="S363" t="s">
        <v>288</v>
      </c>
      <c r="T363" t="s">
        <v>88</v>
      </c>
      <c r="U363">
        <v>5.27</v>
      </c>
      <c r="V363">
        <v>7.21</v>
      </c>
      <c r="W363">
        <v>39692</v>
      </c>
      <c r="X363">
        <v>49840</v>
      </c>
      <c r="Y363">
        <v>0.8</v>
      </c>
      <c r="Z363">
        <v>368</v>
      </c>
      <c r="AA363">
        <v>8</v>
      </c>
      <c r="AB363" t="s">
        <v>31</v>
      </c>
    </row>
    <row r="364" spans="1:28">
      <c r="A364" t="str">
        <f>"600439"</f>
        <v>600439</v>
      </c>
      <c r="B364" t="s">
        <v>519</v>
      </c>
      <c r="C364">
        <v>3.03</v>
      </c>
      <c r="D364">
        <v>4.08</v>
      </c>
      <c r="E364">
        <v>0.12</v>
      </c>
      <c r="F364">
        <v>4.08</v>
      </c>
      <c r="G364">
        <v>4.09</v>
      </c>
      <c r="H364">
        <v>72976</v>
      </c>
      <c r="I364">
        <v>3</v>
      </c>
      <c r="J364">
        <v>0.24</v>
      </c>
      <c r="K364">
        <v>0.77</v>
      </c>
      <c r="L364">
        <v>3.99</v>
      </c>
      <c r="M364">
        <v>4.09</v>
      </c>
      <c r="N364">
        <v>3.99</v>
      </c>
      <c r="O364">
        <v>3.96</v>
      </c>
      <c r="P364">
        <v>20.190000000000001</v>
      </c>
      <c r="Q364">
        <v>29467140</v>
      </c>
      <c r="R364">
        <v>0.59</v>
      </c>
      <c r="S364" t="s">
        <v>158</v>
      </c>
      <c r="T364" t="s">
        <v>61</v>
      </c>
      <c r="U364">
        <v>2.5299999999999998</v>
      </c>
      <c r="V364">
        <v>4.04</v>
      </c>
      <c r="W364">
        <v>28219</v>
      </c>
      <c r="X364">
        <v>44757</v>
      </c>
      <c r="Y364">
        <v>0.63</v>
      </c>
      <c r="Z364">
        <v>523</v>
      </c>
      <c r="AA364">
        <v>552</v>
      </c>
      <c r="AB364" t="s">
        <v>31</v>
      </c>
    </row>
    <row r="365" spans="1:28">
      <c r="A365" t="str">
        <f>"600444"</f>
        <v>600444</v>
      </c>
      <c r="B365" t="s">
        <v>520</v>
      </c>
      <c r="C365">
        <v>2.02</v>
      </c>
      <c r="D365">
        <v>11.64</v>
      </c>
      <c r="E365">
        <v>0.23</v>
      </c>
      <c r="F365">
        <v>11.6</v>
      </c>
      <c r="G365">
        <v>11.64</v>
      </c>
      <c r="H365">
        <v>6144</v>
      </c>
      <c r="I365">
        <v>2</v>
      </c>
      <c r="J365">
        <v>0.34</v>
      </c>
      <c r="K365">
        <v>0.59</v>
      </c>
      <c r="L365">
        <v>11.42</v>
      </c>
      <c r="M365">
        <v>11.7</v>
      </c>
      <c r="N365">
        <v>11.42</v>
      </c>
      <c r="O365">
        <v>11.41</v>
      </c>
      <c r="P365" t="s">
        <v>31</v>
      </c>
      <c r="Q365">
        <v>7122067</v>
      </c>
      <c r="R365">
        <v>1.1100000000000001</v>
      </c>
      <c r="S365" t="s">
        <v>135</v>
      </c>
      <c r="T365" t="s">
        <v>52</v>
      </c>
      <c r="U365">
        <v>2.4500000000000002</v>
      </c>
      <c r="V365">
        <v>11.59</v>
      </c>
      <c r="W365">
        <v>4113</v>
      </c>
      <c r="X365">
        <v>2031</v>
      </c>
      <c r="Y365">
        <v>2.0299999999999998</v>
      </c>
      <c r="Z365">
        <v>6</v>
      </c>
      <c r="AA365">
        <v>15</v>
      </c>
      <c r="AB365" t="s">
        <v>31</v>
      </c>
    </row>
    <row r="366" spans="1:28">
      <c r="A366" t="str">
        <f>"600446"</f>
        <v>600446</v>
      </c>
      <c r="B366" t="s">
        <v>521</v>
      </c>
      <c r="C366">
        <v>-2.74</v>
      </c>
      <c r="D366">
        <v>15.25</v>
      </c>
      <c r="E366">
        <v>-0.43</v>
      </c>
      <c r="F366">
        <v>15.26</v>
      </c>
      <c r="G366">
        <v>15.27</v>
      </c>
      <c r="H366">
        <v>75323</v>
      </c>
      <c r="I366">
        <v>39</v>
      </c>
      <c r="J366">
        <v>-0.06</v>
      </c>
      <c r="K366">
        <v>2.87</v>
      </c>
      <c r="L366">
        <v>15.45</v>
      </c>
      <c r="M366">
        <v>15.69</v>
      </c>
      <c r="N366">
        <v>14.9</v>
      </c>
      <c r="O366">
        <v>15.68</v>
      </c>
      <c r="P366">
        <v>54.37</v>
      </c>
      <c r="Q366">
        <v>114989424</v>
      </c>
      <c r="R366">
        <v>0.95</v>
      </c>
      <c r="S366" t="s">
        <v>383</v>
      </c>
      <c r="T366" t="s">
        <v>73</v>
      </c>
      <c r="U366">
        <v>5.04</v>
      </c>
      <c r="V366">
        <v>15.27</v>
      </c>
      <c r="W366">
        <v>41045</v>
      </c>
      <c r="X366">
        <v>34278</v>
      </c>
      <c r="Y366">
        <v>1.2</v>
      </c>
      <c r="Z366">
        <v>36</v>
      </c>
      <c r="AA366">
        <v>86</v>
      </c>
      <c r="AB366" t="s">
        <v>31</v>
      </c>
    </row>
    <row r="367" spans="1:28">
      <c r="A367" t="str">
        <f>"600448"</f>
        <v>600448</v>
      </c>
      <c r="B367" t="s">
        <v>522</v>
      </c>
      <c r="C367">
        <v>2.06</v>
      </c>
      <c r="D367">
        <v>3.47</v>
      </c>
      <c r="E367">
        <v>7.0000000000000007E-2</v>
      </c>
      <c r="F367">
        <v>3.47</v>
      </c>
      <c r="G367">
        <v>3.48</v>
      </c>
      <c r="H367">
        <v>17910</v>
      </c>
      <c r="I367">
        <v>66</v>
      </c>
      <c r="J367">
        <v>0</v>
      </c>
      <c r="K367">
        <v>0.56000000000000005</v>
      </c>
      <c r="L367">
        <v>3.4</v>
      </c>
      <c r="M367">
        <v>3.48</v>
      </c>
      <c r="N367">
        <v>3.38</v>
      </c>
      <c r="O367">
        <v>3.4</v>
      </c>
      <c r="P367">
        <v>59.82</v>
      </c>
      <c r="Q367">
        <v>6159776</v>
      </c>
      <c r="R367">
        <v>0.7</v>
      </c>
      <c r="S367" t="s">
        <v>127</v>
      </c>
      <c r="T367" t="s">
        <v>57</v>
      </c>
      <c r="U367">
        <v>2.94</v>
      </c>
      <c r="V367">
        <v>3.44</v>
      </c>
      <c r="W367">
        <v>7493</v>
      </c>
      <c r="X367">
        <v>10417</v>
      </c>
      <c r="Y367">
        <v>0.72</v>
      </c>
      <c r="Z367">
        <v>154</v>
      </c>
      <c r="AA367">
        <v>103</v>
      </c>
      <c r="AB367" t="s">
        <v>31</v>
      </c>
    </row>
    <row r="368" spans="1:28">
      <c r="A368" t="str">
        <f>"600449"</f>
        <v>600449</v>
      </c>
      <c r="B368" t="s">
        <v>523</v>
      </c>
      <c r="C368">
        <v>2</v>
      </c>
      <c r="D368">
        <v>7.66</v>
      </c>
      <c r="E368">
        <v>0.15</v>
      </c>
      <c r="F368">
        <v>7.65</v>
      </c>
      <c r="G368">
        <v>7.66</v>
      </c>
      <c r="H368">
        <v>49337</v>
      </c>
      <c r="I368">
        <v>10</v>
      </c>
      <c r="J368">
        <v>0</v>
      </c>
      <c r="K368">
        <v>1.97</v>
      </c>
      <c r="L368">
        <v>7.52</v>
      </c>
      <c r="M368">
        <v>7.72</v>
      </c>
      <c r="N368">
        <v>7.51</v>
      </c>
      <c r="O368">
        <v>7.51</v>
      </c>
      <c r="P368">
        <v>13.38</v>
      </c>
      <c r="Q368">
        <v>37639080</v>
      </c>
      <c r="R368">
        <v>0.93</v>
      </c>
      <c r="S368" t="s">
        <v>312</v>
      </c>
      <c r="T368" t="s">
        <v>236</v>
      </c>
      <c r="U368">
        <v>2.8</v>
      </c>
      <c r="V368">
        <v>7.63</v>
      </c>
      <c r="W368">
        <v>19313</v>
      </c>
      <c r="X368">
        <v>30024</v>
      </c>
      <c r="Y368">
        <v>0.64</v>
      </c>
      <c r="Z368">
        <v>302</v>
      </c>
      <c r="AA368">
        <v>1</v>
      </c>
      <c r="AB368" t="s">
        <v>31</v>
      </c>
    </row>
    <row r="369" spans="1:28">
      <c r="A369" t="str">
        <f>"600452"</f>
        <v>600452</v>
      </c>
      <c r="B369" t="s">
        <v>524</v>
      </c>
      <c r="C369">
        <v>5.75</v>
      </c>
      <c r="D369">
        <v>8.2799999999999994</v>
      </c>
      <c r="E369">
        <v>0.45</v>
      </c>
      <c r="F369">
        <v>8.2799999999999994</v>
      </c>
      <c r="G369">
        <v>8.2899999999999991</v>
      </c>
      <c r="H369">
        <v>49537</v>
      </c>
      <c r="I369">
        <v>4</v>
      </c>
      <c r="J369">
        <v>0.12</v>
      </c>
      <c r="K369">
        <v>3.1</v>
      </c>
      <c r="L369">
        <v>7.78</v>
      </c>
      <c r="M369">
        <v>8.49</v>
      </c>
      <c r="N369">
        <v>7.78</v>
      </c>
      <c r="O369">
        <v>7.83</v>
      </c>
      <c r="P369">
        <v>17.559999999999999</v>
      </c>
      <c r="Q369">
        <v>41018636</v>
      </c>
      <c r="R369">
        <v>4.05</v>
      </c>
      <c r="S369" t="s">
        <v>49</v>
      </c>
      <c r="T369" t="s">
        <v>184</v>
      </c>
      <c r="U369">
        <v>9.07</v>
      </c>
      <c r="V369">
        <v>8.2799999999999994</v>
      </c>
      <c r="W369">
        <v>19886</v>
      </c>
      <c r="X369">
        <v>29651</v>
      </c>
      <c r="Y369">
        <v>0.67</v>
      </c>
      <c r="Z369">
        <v>221</v>
      </c>
      <c r="AA369">
        <v>359</v>
      </c>
      <c r="AB369" t="s">
        <v>31</v>
      </c>
    </row>
    <row r="370" spans="1:28">
      <c r="A370" t="str">
        <f>"600455"</f>
        <v>600455</v>
      </c>
      <c r="B370" t="s">
        <v>525</v>
      </c>
      <c r="C370">
        <v>3.42</v>
      </c>
      <c r="D370">
        <v>13.29</v>
      </c>
      <c r="E370">
        <v>0.44</v>
      </c>
      <c r="F370">
        <v>13.11</v>
      </c>
      <c r="G370">
        <v>13.29</v>
      </c>
      <c r="H370">
        <v>7581</v>
      </c>
      <c r="I370">
        <v>2</v>
      </c>
      <c r="J370">
        <v>1.68</v>
      </c>
      <c r="K370">
        <v>1.52</v>
      </c>
      <c r="L370">
        <v>13.1</v>
      </c>
      <c r="M370">
        <v>13.29</v>
      </c>
      <c r="N370">
        <v>12.9</v>
      </c>
      <c r="O370">
        <v>12.85</v>
      </c>
      <c r="P370">
        <v>86.98</v>
      </c>
      <c r="Q370">
        <v>9906430</v>
      </c>
      <c r="R370">
        <v>0.93</v>
      </c>
      <c r="S370" t="s">
        <v>383</v>
      </c>
      <c r="T370" t="s">
        <v>147</v>
      </c>
      <c r="U370">
        <v>3.04</v>
      </c>
      <c r="V370">
        <v>13.07</v>
      </c>
      <c r="W370">
        <v>3773</v>
      </c>
      <c r="X370">
        <v>3808</v>
      </c>
      <c r="Y370">
        <v>0.99</v>
      </c>
      <c r="Z370">
        <v>52</v>
      </c>
      <c r="AA370">
        <v>171</v>
      </c>
      <c r="AB370" t="s">
        <v>31</v>
      </c>
    </row>
    <row r="371" spans="1:28">
      <c r="A371" t="str">
        <f>"600456"</f>
        <v>600456</v>
      </c>
      <c r="B371" t="s">
        <v>526</v>
      </c>
      <c r="C371">
        <v>1.26</v>
      </c>
      <c r="D371">
        <v>12.06</v>
      </c>
      <c r="E371">
        <v>0.15</v>
      </c>
      <c r="F371">
        <v>12.06</v>
      </c>
      <c r="G371">
        <v>12.07</v>
      </c>
      <c r="H371">
        <v>10963</v>
      </c>
      <c r="I371">
        <v>5</v>
      </c>
      <c r="J371">
        <v>0.16</v>
      </c>
      <c r="K371">
        <v>0.25</v>
      </c>
      <c r="L371">
        <v>11.91</v>
      </c>
      <c r="M371">
        <v>12.08</v>
      </c>
      <c r="N371">
        <v>11.82</v>
      </c>
      <c r="O371">
        <v>11.91</v>
      </c>
      <c r="P371">
        <v>3302.85</v>
      </c>
      <c r="Q371">
        <v>13123872</v>
      </c>
      <c r="R371">
        <v>0.5</v>
      </c>
      <c r="S371" t="s">
        <v>193</v>
      </c>
      <c r="T371" t="s">
        <v>147</v>
      </c>
      <c r="U371">
        <v>2.1800000000000002</v>
      </c>
      <c r="V371">
        <v>11.97</v>
      </c>
      <c r="W371">
        <v>4911</v>
      </c>
      <c r="X371">
        <v>6052</v>
      </c>
      <c r="Y371">
        <v>0.81</v>
      </c>
      <c r="Z371">
        <v>45</v>
      </c>
      <c r="AA371">
        <v>34</v>
      </c>
      <c r="AB371" t="s">
        <v>31</v>
      </c>
    </row>
    <row r="372" spans="1:28">
      <c r="A372" t="str">
        <f>"600458"</f>
        <v>600458</v>
      </c>
      <c r="B372" t="s">
        <v>527</v>
      </c>
      <c r="C372">
        <v>0</v>
      </c>
      <c r="D372">
        <v>11.12</v>
      </c>
      <c r="E372">
        <v>0</v>
      </c>
      <c r="F372" t="s">
        <v>31</v>
      </c>
      <c r="G372" t="s">
        <v>31</v>
      </c>
      <c r="H372">
        <v>0</v>
      </c>
      <c r="I372">
        <v>0</v>
      </c>
      <c r="J372">
        <v>0</v>
      </c>
      <c r="K372">
        <v>0</v>
      </c>
      <c r="L372" t="s">
        <v>31</v>
      </c>
      <c r="M372" t="s">
        <v>31</v>
      </c>
      <c r="N372" t="s">
        <v>31</v>
      </c>
      <c r="O372">
        <v>11.12</v>
      </c>
      <c r="P372">
        <v>52.61</v>
      </c>
      <c r="Q372">
        <v>0</v>
      </c>
      <c r="R372">
        <v>0</v>
      </c>
      <c r="S372" t="s">
        <v>135</v>
      </c>
      <c r="T372" t="s">
        <v>76</v>
      </c>
      <c r="U372">
        <v>0</v>
      </c>
      <c r="V372">
        <v>11.12</v>
      </c>
      <c r="W372">
        <v>0</v>
      </c>
      <c r="X372">
        <v>0</v>
      </c>
      <c r="Y372" t="s">
        <v>31</v>
      </c>
      <c r="Z372">
        <v>0</v>
      </c>
      <c r="AA372">
        <v>0</v>
      </c>
      <c r="AB372" t="s">
        <v>31</v>
      </c>
    </row>
    <row r="373" spans="1:28">
      <c r="A373" t="str">
        <f>"600459"</f>
        <v>600459</v>
      </c>
      <c r="B373" t="s">
        <v>528</v>
      </c>
      <c r="C373">
        <v>0.71</v>
      </c>
      <c r="D373">
        <v>18.55</v>
      </c>
      <c r="E373">
        <v>0.13</v>
      </c>
      <c r="F373">
        <v>18.55</v>
      </c>
      <c r="G373">
        <v>18.559999999999999</v>
      </c>
      <c r="H373">
        <v>48035</v>
      </c>
      <c r="I373">
        <v>5</v>
      </c>
      <c r="J373">
        <v>0.16</v>
      </c>
      <c r="K373">
        <v>2.46</v>
      </c>
      <c r="L373">
        <v>18.149999999999999</v>
      </c>
      <c r="M373">
        <v>18.559999999999999</v>
      </c>
      <c r="N373">
        <v>17.809999999999999</v>
      </c>
      <c r="O373">
        <v>18.420000000000002</v>
      </c>
      <c r="P373">
        <v>49.6</v>
      </c>
      <c r="Q373">
        <v>86858320</v>
      </c>
      <c r="R373">
        <v>0.75</v>
      </c>
      <c r="S373" t="s">
        <v>193</v>
      </c>
      <c r="T373" t="s">
        <v>170</v>
      </c>
      <c r="U373">
        <v>4.07</v>
      </c>
      <c r="V373">
        <v>18.079999999999998</v>
      </c>
      <c r="W373">
        <v>24886</v>
      </c>
      <c r="X373">
        <v>23149</v>
      </c>
      <c r="Y373">
        <v>1.08</v>
      </c>
      <c r="Z373">
        <v>18</v>
      </c>
      <c r="AA373">
        <v>14</v>
      </c>
      <c r="AB373" t="s">
        <v>31</v>
      </c>
    </row>
    <row r="374" spans="1:28">
      <c r="A374" t="str">
        <f>"600460"</f>
        <v>600460</v>
      </c>
      <c r="B374" t="s">
        <v>529</v>
      </c>
      <c r="C374">
        <v>2.71</v>
      </c>
      <c r="D374">
        <v>5.68</v>
      </c>
      <c r="E374">
        <v>0.15</v>
      </c>
      <c r="F374">
        <v>5.67</v>
      </c>
      <c r="G374">
        <v>5.68</v>
      </c>
      <c r="H374">
        <v>41883</v>
      </c>
      <c r="I374">
        <v>125</v>
      </c>
      <c r="J374">
        <v>0</v>
      </c>
      <c r="K374">
        <v>0.48</v>
      </c>
      <c r="L374">
        <v>5.53</v>
      </c>
      <c r="M374">
        <v>5.71</v>
      </c>
      <c r="N374">
        <v>5.52</v>
      </c>
      <c r="O374">
        <v>5.53</v>
      </c>
      <c r="P374">
        <v>73.400000000000006</v>
      </c>
      <c r="Q374">
        <v>23525484</v>
      </c>
      <c r="R374">
        <v>0.53</v>
      </c>
      <c r="S374" t="s">
        <v>241</v>
      </c>
      <c r="T374" t="s">
        <v>95</v>
      </c>
      <c r="U374">
        <v>3.44</v>
      </c>
      <c r="V374">
        <v>5.62</v>
      </c>
      <c r="W374">
        <v>18756</v>
      </c>
      <c r="X374">
        <v>23127</v>
      </c>
      <c r="Y374">
        <v>0.81</v>
      </c>
      <c r="Z374">
        <v>339</v>
      </c>
      <c r="AA374">
        <v>120</v>
      </c>
      <c r="AB374" t="s">
        <v>31</v>
      </c>
    </row>
    <row r="375" spans="1:28">
      <c r="A375" t="str">
        <f>"600461"</f>
        <v>600461</v>
      </c>
      <c r="B375" t="s">
        <v>530</v>
      </c>
      <c r="C375">
        <v>0.51</v>
      </c>
      <c r="D375">
        <v>7.96</v>
      </c>
      <c r="E375">
        <v>0.04</v>
      </c>
      <c r="F375">
        <v>7.96</v>
      </c>
      <c r="G375">
        <v>7.97</v>
      </c>
      <c r="H375">
        <v>74262</v>
      </c>
      <c r="I375">
        <v>40</v>
      </c>
      <c r="J375">
        <v>0</v>
      </c>
      <c r="K375">
        <v>2.25</v>
      </c>
      <c r="L375">
        <v>7.76</v>
      </c>
      <c r="M375">
        <v>8.02</v>
      </c>
      <c r="N375">
        <v>7.55</v>
      </c>
      <c r="O375">
        <v>7.92</v>
      </c>
      <c r="P375">
        <v>23.84</v>
      </c>
      <c r="Q375">
        <v>58511220</v>
      </c>
      <c r="R375">
        <v>0.93</v>
      </c>
      <c r="S375" t="s">
        <v>259</v>
      </c>
      <c r="T375" t="s">
        <v>99</v>
      </c>
      <c r="U375">
        <v>5.93</v>
      </c>
      <c r="V375">
        <v>7.88</v>
      </c>
      <c r="W375">
        <v>31765</v>
      </c>
      <c r="X375">
        <v>42497</v>
      </c>
      <c r="Y375">
        <v>0.75</v>
      </c>
      <c r="Z375">
        <v>179</v>
      </c>
      <c r="AA375">
        <v>65</v>
      </c>
      <c r="AB375" t="s">
        <v>31</v>
      </c>
    </row>
    <row r="376" spans="1:28">
      <c r="A376" t="str">
        <f>"600462"</f>
        <v>600462</v>
      </c>
      <c r="B376" t="s">
        <v>531</v>
      </c>
      <c r="C376">
        <v>1.88</v>
      </c>
      <c r="D376">
        <v>5.43</v>
      </c>
      <c r="E376">
        <v>0.1</v>
      </c>
      <c r="F376">
        <v>5.43</v>
      </c>
      <c r="G376">
        <v>5.45</v>
      </c>
      <c r="H376">
        <v>51202</v>
      </c>
      <c r="I376">
        <v>9</v>
      </c>
      <c r="J376">
        <v>0.36</v>
      </c>
      <c r="K376">
        <v>0.96</v>
      </c>
      <c r="L376">
        <v>5.33</v>
      </c>
      <c r="M376">
        <v>5.51</v>
      </c>
      <c r="N376">
        <v>5.24</v>
      </c>
      <c r="O376">
        <v>5.33</v>
      </c>
      <c r="P376">
        <v>19.36</v>
      </c>
      <c r="Q376">
        <v>27531950</v>
      </c>
      <c r="R376">
        <v>1.26</v>
      </c>
      <c r="S376" t="s">
        <v>125</v>
      </c>
      <c r="T376" t="s">
        <v>191</v>
      </c>
      <c r="U376">
        <v>5.07</v>
      </c>
      <c r="V376">
        <v>5.38</v>
      </c>
      <c r="W376">
        <v>26811</v>
      </c>
      <c r="X376">
        <v>24391</v>
      </c>
      <c r="Y376">
        <v>1.1000000000000001</v>
      </c>
      <c r="Z376">
        <v>10</v>
      </c>
      <c r="AA376">
        <v>108</v>
      </c>
      <c r="AB376" t="s">
        <v>31</v>
      </c>
    </row>
    <row r="377" spans="1:28">
      <c r="A377" t="str">
        <f>"600463"</f>
        <v>600463</v>
      </c>
      <c r="B377" t="s">
        <v>532</v>
      </c>
      <c r="C377">
        <v>1.34</v>
      </c>
      <c r="D377">
        <v>7.56</v>
      </c>
      <c r="E377">
        <v>0.1</v>
      </c>
      <c r="F377">
        <v>7.53</v>
      </c>
      <c r="G377">
        <v>7.56</v>
      </c>
      <c r="H377">
        <v>51532</v>
      </c>
      <c r="I377">
        <v>70</v>
      </c>
      <c r="J377">
        <v>-0.39</v>
      </c>
      <c r="K377">
        <v>2.04</v>
      </c>
      <c r="L377">
        <v>7.47</v>
      </c>
      <c r="M377">
        <v>7.6</v>
      </c>
      <c r="N377">
        <v>7.31</v>
      </c>
      <c r="O377">
        <v>7.46</v>
      </c>
      <c r="P377">
        <v>25.47</v>
      </c>
      <c r="Q377">
        <v>38313764</v>
      </c>
      <c r="R377">
        <v>0.46</v>
      </c>
      <c r="S377" t="s">
        <v>41</v>
      </c>
      <c r="T377" t="s">
        <v>42</v>
      </c>
      <c r="U377">
        <v>3.89</v>
      </c>
      <c r="V377">
        <v>7.43</v>
      </c>
      <c r="W377">
        <v>26342</v>
      </c>
      <c r="X377">
        <v>25190</v>
      </c>
      <c r="Y377">
        <v>1.05</v>
      </c>
      <c r="Z377">
        <v>72</v>
      </c>
      <c r="AA377">
        <v>7</v>
      </c>
      <c r="AB377" t="s">
        <v>31</v>
      </c>
    </row>
    <row r="378" spans="1:28">
      <c r="A378" t="str">
        <f>"600466"</f>
        <v>600466</v>
      </c>
      <c r="B378" t="s">
        <v>533</v>
      </c>
      <c r="C378">
        <v>0</v>
      </c>
      <c r="D378">
        <v>4.37</v>
      </c>
      <c r="E378">
        <v>0</v>
      </c>
      <c r="F378" t="s">
        <v>31</v>
      </c>
      <c r="G378" t="s">
        <v>31</v>
      </c>
      <c r="H378">
        <v>0</v>
      </c>
      <c r="I378">
        <v>0</v>
      </c>
      <c r="J378">
        <v>0</v>
      </c>
      <c r="K378">
        <v>0</v>
      </c>
      <c r="L378" t="s">
        <v>31</v>
      </c>
      <c r="M378" t="s">
        <v>31</v>
      </c>
      <c r="N378" t="s">
        <v>31</v>
      </c>
      <c r="O378">
        <v>4.37</v>
      </c>
      <c r="P378">
        <v>109.99</v>
      </c>
      <c r="Q378">
        <v>0</v>
      </c>
      <c r="R378">
        <v>0</v>
      </c>
      <c r="S378" t="s">
        <v>156</v>
      </c>
      <c r="T378" t="s">
        <v>88</v>
      </c>
      <c r="U378">
        <v>0</v>
      </c>
      <c r="V378">
        <v>4.37</v>
      </c>
      <c r="W378">
        <v>0</v>
      </c>
      <c r="X378">
        <v>0</v>
      </c>
      <c r="Y378" t="s">
        <v>31</v>
      </c>
      <c r="Z378">
        <v>0</v>
      </c>
      <c r="AA378">
        <v>0</v>
      </c>
      <c r="AB378" t="s">
        <v>31</v>
      </c>
    </row>
    <row r="379" spans="1:28">
      <c r="A379" t="str">
        <f>"600467"</f>
        <v>600467</v>
      </c>
      <c r="B379" t="s">
        <v>534</v>
      </c>
      <c r="C379">
        <v>0.5</v>
      </c>
      <c r="D379">
        <v>6.02</v>
      </c>
      <c r="E379">
        <v>0.03</v>
      </c>
      <c r="F379">
        <v>6.01</v>
      </c>
      <c r="G379">
        <v>6.02</v>
      </c>
      <c r="H379">
        <v>107825</v>
      </c>
      <c r="I379">
        <v>51</v>
      </c>
      <c r="J379">
        <v>0</v>
      </c>
      <c r="K379">
        <v>1.5</v>
      </c>
      <c r="L379">
        <v>5.96</v>
      </c>
      <c r="M379">
        <v>6.03</v>
      </c>
      <c r="N379">
        <v>5.85</v>
      </c>
      <c r="O379">
        <v>5.99</v>
      </c>
      <c r="P379">
        <v>46.93</v>
      </c>
      <c r="Q379">
        <v>64064704</v>
      </c>
      <c r="R379">
        <v>0.64</v>
      </c>
      <c r="S379" t="s">
        <v>172</v>
      </c>
      <c r="T379" t="s">
        <v>57</v>
      </c>
      <c r="U379">
        <v>3.01</v>
      </c>
      <c r="V379">
        <v>5.94</v>
      </c>
      <c r="W379">
        <v>54716</v>
      </c>
      <c r="X379">
        <v>53109</v>
      </c>
      <c r="Y379">
        <v>1.03</v>
      </c>
      <c r="Z379">
        <v>568</v>
      </c>
      <c r="AA379">
        <v>684</v>
      </c>
      <c r="AB379" t="s">
        <v>31</v>
      </c>
    </row>
    <row r="380" spans="1:28">
      <c r="A380" t="str">
        <f>"600468"</f>
        <v>600468</v>
      </c>
      <c r="B380" t="s">
        <v>535</v>
      </c>
      <c r="C380">
        <v>0.2</v>
      </c>
      <c r="D380">
        <v>10</v>
      </c>
      <c r="E380">
        <v>0.02</v>
      </c>
      <c r="F380">
        <v>10</v>
      </c>
      <c r="G380">
        <v>10.029999999999999</v>
      </c>
      <c r="H380">
        <v>27109</v>
      </c>
      <c r="I380">
        <v>10</v>
      </c>
      <c r="J380">
        <v>0.1</v>
      </c>
      <c r="K380">
        <v>0.59</v>
      </c>
      <c r="L380">
        <v>9.89</v>
      </c>
      <c r="M380">
        <v>10.07</v>
      </c>
      <c r="N380">
        <v>9.86</v>
      </c>
      <c r="O380">
        <v>9.98</v>
      </c>
      <c r="P380">
        <v>166.91</v>
      </c>
      <c r="Q380">
        <v>27082172</v>
      </c>
      <c r="R380">
        <v>0.97</v>
      </c>
      <c r="S380" t="s">
        <v>161</v>
      </c>
      <c r="T380" t="s">
        <v>151</v>
      </c>
      <c r="U380">
        <v>2.1</v>
      </c>
      <c r="V380">
        <v>9.99</v>
      </c>
      <c r="W380">
        <v>10232</v>
      </c>
      <c r="X380">
        <v>16877</v>
      </c>
      <c r="Y380">
        <v>0.61</v>
      </c>
      <c r="Z380">
        <v>944</v>
      </c>
      <c r="AA380">
        <v>39</v>
      </c>
      <c r="AB380" t="s">
        <v>31</v>
      </c>
    </row>
    <row r="381" spans="1:28">
      <c r="A381" t="str">
        <f>"600469"</f>
        <v>600469</v>
      </c>
      <c r="B381" t="s">
        <v>536</v>
      </c>
      <c r="C381">
        <v>1.88</v>
      </c>
      <c r="D381">
        <v>8.1300000000000008</v>
      </c>
      <c r="E381">
        <v>0.15</v>
      </c>
      <c r="F381">
        <v>8.1199999999999992</v>
      </c>
      <c r="G381">
        <v>8.1300000000000008</v>
      </c>
      <c r="H381">
        <v>22304</v>
      </c>
      <c r="I381">
        <v>5</v>
      </c>
      <c r="J381">
        <v>0</v>
      </c>
      <c r="K381">
        <v>0.59</v>
      </c>
      <c r="L381">
        <v>7.99</v>
      </c>
      <c r="M381">
        <v>8.14</v>
      </c>
      <c r="N381">
        <v>7.95</v>
      </c>
      <c r="O381">
        <v>7.98</v>
      </c>
      <c r="P381">
        <v>9.35</v>
      </c>
      <c r="Q381">
        <v>17966692</v>
      </c>
      <c r="R381">
        <v>0.74</v>
      </c>
      <c r="S381" t="s">
        <v>149</v>
      </c>
      <c r="T381" t="s">
        <v>61</v>
      </c>
      <c r="U381">
        <v>2.38</v>
      </c>
      <c r="V381">
        <v>8.06</v>
      </c>
      <c r="W381">
        <v>10823</v>
      </c>
      <c r="X381">
        <v>11481</v>
      </c>
      <c r="Y381">
        <v>0.94</v>
      </c>
      <c r="Z381">
        <v>89</v>
      </c>
      <c r="AA381">
        <v>51</v>
      </c>
      <c r="AB381" t="s">
        <v>31</v>
      </c>
    </row>
    <row r="382" spans="1:28">
      <c r="A382" t="str">
        <f>"600470"</f>
        <v>600470</v>
      </c>
      <c r="B382" t="s">
        <v>537</v>
      </c>
      <c r="C382">
        <v>0.32</v>
      </c>
      <c r="D382">
        <v>6.35</v>
      </c>
      <c r="E382">
        <v>0.02</v>
      </c>
      <c r="F382">
        <v>6.34</v>
      </c>
      <c r="G382">
        <v>6.35</v>
      </c>
      <c r="H382">
        <v>151731</v>
      </c>
      <c r="I382">
        <v>140</v>
      </c>
      <c r="J382">
        <v>0</v>
      </c>
      <c r="K382">
        <v>2.91</v>
      </c>
      <c r="L382">
        <v>6.33</v>
      </c>
      <c r="M382">
        <v>6.41</v>
      </c>
      <c r="N382">
        <v>6.18</v>
      </c>
      <c r="O382">
        <v>6.33</v>
      </c>
      <c r="P382">
        <v>220.25</v>
      </c>
      <c r="Q382">
        <v>95593952</v>
      </c>
      <c r="R382">
        <v>0.42</v>
      </c>
      <c r="S382" t="s">
        <v>169</v>
      </c>
      <c r="T382" t="s">
        <v>52</v>
      </c>
      <c r="U382">
        <v>3.63</v>
      </c>
      <c r="V382">
        <v>6.3</v>
      </c>
      <c r="W382">
        <v>76963</v>
      </c>
      <c r="X382">
        <v>74768</v>
      </c>
      <c r="Y382">
        <v>1.03</v>
      </c>
      <c r="Z382">
        <v>430</v>
      </c>
      <c r="AA382">
        <v>159</v>
      </c>
      <c r="AB382" t="s">
        <v>31</v>
      </c>
    </row>
    <row r="383" spans="1:28">
      <c r="A383" t="str">
        <f>"600475"</f>
        <v>600475</v>
      </c>
      <c r="B383" t="s">
        <v>538</v>
      </c>
      <c r="C383">
        <v>-1.21</v>
      </c>
      <c r="D383">
        <v>13.02</v>
      </c>
      <c r="E383">
        <v>-0.16</v>
      </c>
      <c r="F383">
        <v>13.02</v>
      </c>
      <c r="G383">
        <v>13.03</v>
      </c>
      <c r="H383">
        <v>75064</v>
      </c>
      <c r="I383">
        <v>5</v>
      </c>
      <c r="J383">
        <v>0.3</v>
      </c>
      <c r="K383">
        <v>2.93</v>
      </c>
      <c r="L383">
        <v>13.1</v>
      </c>
      <c r="M383">
        <v>13.19</v>
      </c>
      <c r="N383">
        <v>12.69</v>
      </c>
      <c r="O383">
        <v>13.18</v>
      </c>
      <c r="P383">
        <v>38.479999999999997</v>
      </c>
      <c r="Q383">
        <v>96839408</v>
      </c>
      <c r="R383">
        <v>0.45</v>
      </c>
      <c r="S383" t="s">
        <v>481</v>
      </c>
      <c r="T383" t="s">
        <v>120</v>
      </c>
      <c r="U383">
        <v>3.79</v>
      </c>
      <c r="V383">
        <v>12.9</v>
      </c>
      <c r="W383">
        <v>40850</v>
      </c>
      <c r="X383">
        <v>34214</v>
      </c>
      <c r="Y383">
        <v>1.19</v>
      </c>
      <c r="Z383">
        <v>306</v>
      </c>
      <c r="AA383">
        <v>147</v>
      </c>
      <c r="AB383" t="s">
        <v>31</v>
      </c>
    </row>
    <row r="384" spans="1:28">
      <c r="A384" t="str">
        <f>"600476"</f>
        <v>600476</v>
      </c>
      <c r="B384" t="s">
        <v>539</v>
      </c>
      <c r="C384">
        <v>-0.32</v>
      </c>
      <c r="D384">
        <v>9.33</v>
      </c>
      <c r="E384">
        <v>-0.03</v>
      </c>
      <c r="F384">
        <v>9.32</v>
      </c>
      <c r="G384">
        <v>9.35</v>
      </c>
      <c r="H384">
        <v>22945</v>
      </c>
      <c r="I384">
        <v>200</v>
      </c>
      <c r="J384">
        <v>0</v>
      </c>
      <c r="K384">
        <v>1.42</v>
      </c>
      <c r="L384">
        <v>9.27</v>
      </c>
      <c r="M384">
        <v>9.36</v>
      </c>
      <c r="N384">
        <v>9.15</v>
      </c>
      <c r="O384">
        <v>9.36</v>
      </c>
      <c r="P384" t="s">
        <v>31</v>
      </c>
      <c r="Q384">
        <v>21227584</v>
      </c>
      <c r="R384">
        <v>0.6</v>
      </c>
      <c r="S384" t="s">
        <v>383</v>
      </c>
      <c r="T384" t="s">
        <v>76</v>
      </c>
      <c r="U384">
        <v>2.2400000000000002</v>
      </c>
      <c r="V384">
        <v>9.25</v>
      </c>
      <c r="W384">
        <v>13712</v>
      </c>
      <c r="X384">
        <v>9233</v>
      </c>
      <c r="Y384">
        <v>1.49</v>
      </c>
      <c r="Z384">
        <v>73</v>
      </c>
      <c r="AA384">
        <v>425</v>
      </c>
      <c r="AB384" t="s">
        <v>31</v>
      </c>
    </row>
    <row r="385" spans="1:28">
      <c r="A385" t="str">
        <f>"600477"</f>
        <v>600477</v>
      </c>
      <c r="B385" t="s">
        <v>540</v>
      </c>
      <c r="C385">
        <v>0.84</v>
      </c>
      <c r="D385">
        <v>3.6</v>
      </c>
      <c r="E385">
        <v>0.03</v>
      </c>
      <c r="F385">
        <v>3.59</v>
      </c>
      <c r="G385">
        <v>3.6</v>
      </c>
      <c r="H385">
        <v>35430</v>
      </c>
      <c r="I385">
        <v>1</v>
      </c>
      <c r="J385">
        <v>0</v>
      </c>
      <c r="K385">
        <v>0.76</v>
      </c>
      <c r="L385">
        <v>3.6</v>
      </c>
      <c r="M385">
        <v>3.61</v>
      </c>
      <c r="N385">
        <v>3.53</v>
      </c>
      <c r="O385">
        <v>3.57</v>
      </c>
      <c r="P385">
        <v>112.93</v>
      </c>
      <c r="Q385">
        <v>12610302</v>
      </c>
      <c r="R385">
        <v>1.57</v>
      </c>
      <c r="S385" t="s">
        <v>254</v>
      </c>
      <c r="T385" t="s">
        <v>95</v>
      </c>
      <c r="U385">
        <v>2.2400000000000002</v>
      </c>
      <c r="V385">
        <v>3.56</v>
      </c>
      <c r="W385">
        <v>20267</v>
      </c>
      <c r="X385">
        <v>15163</v>
      </c>
      <c r="Y385">
        <v>1.34</v>
      </c>
      <c r="Z385">
        <v>133</v>
      </c>
      <c r="AA385">
        <v>629</v>
      </c>
      <c r="AB385" t="s">
        <v>31</v>
      </c>
    </row>
    <row r="386" spans="1:28">
      <c r="A386" t="str">
        <f>"600478"</f>
        <v>600478</v>
      </c>
      <c r="B386" t="s">
        <v>541</v>
      </c>
      <c r="C386">
        <v>-1.1499999999999999</v>
      </c>
      <c r="D386">
        <v>24.1</v>
      </c>
      <c r="E386">
        <v>-0.28000000000000003</v>
      </c>
      <c r="F386">
        <v>24.1</v>
      </c>
      <c r="G386">
        <v>24.12</v>
      </c>
      <c r="H386">
        <v>56418</v>
      </c>
      <c r="I386">
        <v>35</v>
      </c>
      <c r="J386">
        <v>0.28999999999999998</v>
      </c>
      <c r="K386">
        <v>1.79</v>
      </c>
      <c r="L386">
        <v>24.35</v>
      </c>
      <c r="M386">
        <v>24.7</v>
      </c>
      <c r="N386">
        <v>23.7</v>
      </c>
      <c r="O386">
        <v>24.38</v>
      </c>
      <c r="P386">
        <v>693.98</v>
      </c>
      <c r="Q386">
        <v>135954784</v>
      </c>
      <c r="R386">
        <v>0.86</v>
      </c>
      <c r="S386" t="s">
        <v>153</v>
      </c>
      <c r="T386" t="s">
        <v>76</v>
      </c>
      <c r="U386">
        <v>4.0999999999999996</v>
      </c>
      <c r="V386">
        <v>24.1</v>
      </c>
      <c r="W386">
        <v>33933</v>
      </c>
      <c r="X386">
        <v>22485</v>
      </c>
      <c r="Y386">
        <v>1.51</v>
      </c>
      <c r="Z386">
        <v>60</v>
      </c>
      <c r="AA386">
        <v>39</v>
      </c>
      <c r="AB386" t="s">
        <v>31</v>
      </c>
    </row>
    <row r="387" spans="1:28">
      <c r="A387" t="str">
        <f>"600479"</f>
        <v>600479</v>
      </c>
      <c r="B387" t="s">
        <v>542</v>
      </c>
      <c r="C387">
        <v>3.6</v>
      </c>
      <c r="D387">
        <v>12.08</v>
      </c>
      <c r="E387">
        <v>0.42</v>
      </c>
      <c r="F387">
        <v>12.05</v>
      </c>
      <c r="G387">
        <v>12.07</v>
      </c>
      <c r="H387">
        <v>29102</v>
      </c>
      <c r="I387">
        <v>2</v>
      </c>
      <c r="J387">
        <v>0</v>
      </c>
      <c r="K387">
        <v>0.95</v>
      </c>
      <c r="L387">
        <v>11.63</v>
      </c>
      <c r="M387">
        <v>12.09</v>
      </c>
      <c r="N387">
        <v>11.6</v>
      </c>
      <c r="O387">
        <v>11.66</v>
      </c>
      <c r="P387">
        <v>39.450000000000003</v>
      </c>
      <c r="Q387">
        <v>34712212</v>
      </c>
      <c r="R387">
        <v>1.08</v>
      </c>
      <c r="S387" t="s">
        <v>156</v>
      </c>
      <c r="T387" t="s">
        <v>76</v>
      </c>
      <c r="U387">
        <v>4.2</v>
      </c>
      <c r="V387">
        <v>11.93</v>
      </c>
      <c r="W387">
        <v>12685</v>
      </c>
      <c r="X387">
        <v>16417</v>
      </c>
      <c r="Y387">
        <v>0.77</v>
      </c>
      <c r="Z387">
        <v>173</v>
      </c>
      <c r="AA387">
        <v>28</v>
      </c>
      <c r="AB387" t="s">
        <v>31</v>
      </c>
    </row>
    <row r="388" spans="1:28">
      <c r="A388" t="str">
        <f>"600480"</f>
        <v>600480</v>
      </c>
      <c r="B388" t="s">
        <v>543</v>
      </c>
      <c r="C388">
        <v>1.02</v>
      </c>
      <c r="D388">
        <v>6.9</v>
      </c>
      <c r="E388">
        <v>7.0000000000000007E-2</v>
      </c>
      <c r="F388">
        <v>6.89</v>
      </c>
      <c r="G388">
        <v>6.9</v>
      </c>
      <c r="H388">
        <v>28202</v>
      </c>
      <c r="I388">
        <v>107</v>
      </c>
      <c r="J388">
        <v>0</v>
      </c>
      <c r="K388">
        <v>0.79</v>
      </c>
      <c r="L388">
        <v>6.81</v>
      </c>
      <c r="M388">
        <v>6.9</v>
      </c>
      <c r="N388">
        <v>6.75</v>
      </c>
      <c r="O388">
        <v>6.83</v>
      </c>
      <c r="P388">
        <v>22.15</v>
      </c>
      <c r="Q388">
        <v>19283408</v>
      </c>
      <c r="R388">
        <v>0.66</v>
      </c>
      <c r="S388" t="s">
        <v>149</v>
      </c>
      <c r="T388" t="s">
        <v>224</v>
      </c>
      <c r="U388">
        <v>2.2000000000000002</v>
      </c>
      <c r="V388">
        <v>6.84</v>
      </c>
      <c r="W388">
        <v>13567</v>
      </c>
      <c r="X388">
        <v>14635</v>
      </c>
      <c r="Y388">
        <v>0.93</v>
      </c>
      <c r="Z388">
        <v>1193</v>
      </c>
      <c r="AA388">
        <v>438</v>
      </c>
      <c r="AB388" t="s">
        <v>31</v>
      </c>
    </row>
    <row r="389" spans="1:28">
      <c r="A389" t="str">
        <f>"600481"</f>
        <v>600481</v>
      </c>
      <c r="B389" t="s">
        <v>544</v>
      </c>
      <c r="C389">
        <v>0.85</v>
      </c>
      <c r="D389">
        <v>9.5</v>
      </c>
      <c r="E389">
        <v>0.08</v>
      </c>
      <c r="F389">
        <v>9.48</v>
      </c>
      <c r="G389">
        <v>9.49</v>
      </c>
      <c r="H389">
        <v>83380</v>
      </c>
      <c r="I389">
        <v>31</v>
      </c>
      <c r="J389">
        <v>0</v>
      </c>
      <c r="K389">
        <v>1.03</v>
      </c>
      <c r="L389">
        <v>9.4499999999999993</v>
      </c>
      <c r="M389">
        <v>9.56</v>
      </c>
      <c r="N389">
        <v>9.26</v>
      </c>
      <c r="O389">
        <v>9.42</v>
      </c>
      <c r="P389">
        <v>17.27</v>
      </c>
      <c r="Q389">
        <v>78618648</v>
      </c>
      <c r="R389">
        <v>0.68</v>
      </c>
      <c r="S389" t="s">
        <v>137</v>
      </c>
      <c r="T389" t="s">
        <v>120</v>
      </c>
      <c r="U389">
        <v>3.18</v>
      </c>
      <c r="V389">
        <v>9.43</v>
      </c>
      <c r="W389">
        <v>46334</v>
      </c>
      <c r="X389">
        <v>37046</v>
      </c>
      <c r="Y389">
        <v>1.25</v>
      </c>
      <c r="Z389">
        <v>190</v>
      </c>
      <c r="AA389">
        <v>220</v>
      </c>
      <c r="AB389" t="s">
        <v>31</v>
      </c>
    </row>
    <row r="390" spans="1:28">
      <c r="A390" t="str">
        <f>"600482"</f>
        <v>600482</v>
      </c>
      <c r="B390" t="s">
        <v>545</v>
      </c>
      <c r="C390">
        <v>0.96</v>
      </c>
      <c r="D390">
        <v>9.51</v>
      </c>
      <c r="E390">
        <v>0.09</v>
      </c>
      <c r="F390">
        <v>9.51</v>
      </c>
      <c r="G390">
        <v>9.52</v>
      </c>
      <c r="H390">
        <v>47980</v>
      </c>
      <c r="I390">
        <v>22</v>
      </c>
      <c r="J390">
        <v>0.1</v>
      </c>
      <c r="K390">
        <v>1.04</v>
      </c>
      <c r="L390">
        <v>9.42</v>
      </c>
      <c r="M390">
        <v>9.52</v>
      </c>
      <c r="N390">
        <v>9.26</v>
      </c>
      <c r="O390">
        <v>9.42</v>
      </c>
      <c r="P390">
        <v>38.869999999999997</v>
      </c>
      <c r="Q390">
        <v>45084340</v>
      </c>
      <c r="R390">
        <v>0.82</v>
      </c>
      <c r="S390" t="s">
        <v>161</v>
      </c>
      <c r="T390" t="s">
        <v>224</v>
      </c>
      <c r="U390">
        <v>2.76</v>
      </c>
      <c r="V390">
        <v>9.4</v>
      </c>
      <c r="W390">
        <v>27079</v>
      </c>
      <c r="X390">
        <v>20901</v>
      </c>
      <c r="Y390">
        <v>1.3</v>
      </c>
      <c r="Z390">
        <v>75</v>
      </c>
      <c r="AA390">
        <v>180</v>
      </c>
      <c r="AB390" t="s">
        <v>31</v>
      </c>
    </row>
    <row r="391" spans="1:28">
      <c r="A391" t="str">
        <f>"600483"</f>
        <v>600483</v>
      </c>
      <c r="B391" t="s">
        <v>546</v>
      </c>
      <c r="C391">
        <v>0</v>
      </c>
      <c r="D391">
        <v>4.4800000000000004</v>
      </c>
      <c r="E391">
        <v>0</v>
      </c>
      <c r="F391" t="s">
        <v>31</v>
      </c>
      <c r="G391" t="s">
        <v>31</v>
      </c>
      <c r="H391">
        <v>0</v>
      </c>
      <c r="I391">
        <v>0</v>
      </c>
      <c r="J391">
        <v>0</v>
      </c>
      <c r="K391">
        <v>0</v>
      </c>
      <c r="L391" t="s">
        <v>31</v>
      </c>
      <c r="M391" t="s">
        <v>31</v>
      </c>
      <c r="N391" t="s">
        <v>31</v>
      </c>
      <c r="O391">
        <v>4.4800000000000004</v>
      </c>
      <c r="P391">
        <v>150.52000000000001</v>
      </c>
      <c r="Q391">
        <v>0</v>
      </c>
      <c r="R391">
        <v>0</v>
      </c>
      <c r="S391" t="s">
        <v>127</v>
      </c>
      <c r="T391" t="s">
        <v>78</v>
      </c>
      <c r="U391">
        <v>0</v>
      </c>
      <c r="V391">
        <v>4.4800000000000004</v>
      </c>
      <c r="W391">
        <v>0</v>
      </c>
      <c r="X391">
        <v>0</v>
      </c>
      <c r="Y391" t="s">
        <v>31</v>
      </c>
      <c r="Z391">
        <v>0</v>
      </c>
      <c r="AA391">
        <v>0</v>
      </c>
      <c r="AB391" t="s">
        <v>31</v>
      </c>
    </row>
    <row r="392" spans="1:28">
      <c r="A392" t="str">
        <f>"600485"</f>
        <v>600485</v>
      </c>
      <c r="B392" t="s">
        <v>547</v>
      </c>
      <c r="C392">
        <v>0.6</v>
      </c>
      <c r="D392">
        <v>20.23</v>
      </c>
      <c r="E392">
        <v>0.12</v>
      </c>
      <c r="F392">
        <v>20.21</v>
      </c>
      <c r="G392">
        <v>20.23</v>
      </c>
      <c r="H392">
        <v>124177</v>
      </c>
      <c r="I392">
        <v>6</v>
      </c>
      <c r="J392">
        <v>-0.09</v>
      </c>
      <c r="K392">
        <v>8.9600000000000009</v>
      </c>
      <c r="L392">
        <v>20.11</v>
      </c>
      <c r="M392">
        <v>20.54</v>
      </c>
      <c r="N392">
        <v>19.73</v>
      </c>
      <c r="O392">
        <v>20.11</v>
      </c>
      <c r="P392" t="s">
        <v>31</v>
      </c>
      <c r="Q392">
        <v>250652480</v>
      </c>
      <c r="R392">
        <v>0.65</v>
      </c>
      <c r="S392" t="s">
        <v>140</v>
      </c>
      <c r="T392" t="s">
        <v>42</v>
      </c>
      <c r="U392">
        <v>4.03</v>
      </c>
      <c r="V392">
        <v>20.190000000000001</v>
      </c>
      <c r="W392">
        <v>62026</v>
      </c>
      <c r="X392">
        <v>62151</v>
      </c>
      <c r="Y392">
        <v>1</v>
      </c>
      <c r="Z392">
        <v>23</v>
      </c>
      <c r="AA392">
        <v>28</v>
      </c>
      <c r="AB392" t="s">
        <v>31</v>
      </c>
    </row>
    <row r="393" spans="1:28">
      <c r="A393" t="str">
        <f>"600486"</f>
        <v>600486</v>
      </c>
      <c r="B393" t="s">
        <v>548</v>
      </c>
      <c r="C393">
        <v>2.86</v>
      </c>
      <c r="D393">
        <v>29.81</v>
      </c>
      <c r="E393">
        <v>0.83</v>
      </c>
      <c r="F393">
        <v>29.79</v>
      </c>
      <c r="G393">
        <v>29.8</v>
      </c>
      <c r="H393">
        <v>22903</v>
      </c>
      <c r="I393">
        <v>43</v>
      </c>
      <c r="J393">
        <v>-0.23</v>
      </c>
      <c r="K393">
        <v>1.33</v>
      </c>
      <c r="L393">
        <v>28.95</v>
      </c>
      <c r="M393">
        <v>29.88</v>
      </c>
      <c r="N393">
        <v>28.88</v>
      </c>
      <c r="O393">
        <v>28.98</v>
      </c>
      <c r="P393">
        <v>14.46</v>
      </c>
      <c r="Q393">
        <v>67520992</v>
      </c>
      <c r="R393">
        <v>0.86</v>
      </c>
      <c r="S393" t="s">
        <v>169</v>
      </c>
      <c r="T393" t="s">
        <v>120</v>
      </c>
      <c r="U393">
        <v>3.45</v>
      </c>
      <c r="V393">
        <v>29.48</v>
      </c>
      <c r="W393">
        <v>8937</v>
      </c>
      <c r="X393">
        <v>13966</v>
      </c>
      <c r="Y393">
        <v>0.64</v>
      </c>
      <c r="Z393">
        <v>3</v>
      </c>
      <c r="AA393">
        <v>118</v>
      </c>
      <c r="AB393" t="s">
        <v>31</v>
      </c>
    </row>
    <row r="394" spans="1:28">
      <c r="A394" t="str">
        <f>"600487"</f>
        <v>600487</v>
      </c>
      <c r="B394" t="s">
        <v>549</v>
      </c>
      <c r="C394">
        <v>1.1100000000000001</v>
      </c>
      <c r="D394">
        <v>17.27</v>
      </c>
      <c r="E394">
        <v>0.19</v>
      </c>
      <c r="F394">
        <v>17.27</v>
      </c>
      <c r="G394">
        <v>17.28</v>
      </c>
      <c r="H394">
        <v>8414</v>
      </c>
      <c r="I394">
        <v>5</v>
      </c>
      <c r="J394">
        <v>0.05</v>
      </c>
      <c r="K394">
        <v>0.51</v>
      </c>
      <c r="L394">
        <v>17.100000000000001</v>
      </c>
      <c r="M394">
        <v>17.3</v>
      </c>
      <c r="N394">
        <v>16.920000000000002</v>
      </c>
      <c r="O394">
        <v>17.079999999999998</v>
      </c>
      <c r="P394">
        <v>28.36</v>
      </c>
      <c r="Q394">
        <v>14405480</v>
      </c>
      <c r="R394">
        <v>0.65</v>
      </c>
      <c r="S394" t="s">
        <v>140</v>
      </c>
      <c r="T394" t="s">
        <v>120</v>
      </c>
      <c r="U394">
        <v>2.2200000000000002</v>
      </c>
      <c r="V394">
        <v>17.12</v>
      </c>
      <c r="W394">
        <v>4245</v>
      </c>
      <c r="X394">
        <v>4169</v>
      </c>
      <c r="Y394">
        <v>1.02</v>
      </c>
      <c r="Z394">
        <v>51</v>
      </c>
      <c r="AA394">
        <v>47</v>
      </c>
      <c r="AB394" t="s">
        <v>31</v>
      </c>
    </row>
    <row r="395" spans="1:28">
      <c r="A395" t="str">
        <f>"600488"</f>
        <v>600488</v>
      </c>
      <c r="B395" t="s">
        <v>550</v>
      </c>
      <c r="C395">
        <v>1.82</v>
      </c>
      <c r="D395">
        <v>4.4800000000000004</v>
      </c>
      <c r="E395">
        <v>0.08</v>
      </c>
      <c r="F395">
        <v>4.47</v>
      </c>
      <c r="G395">
        <v>4.4800000000000004</v>
      </c>
      <c r="H395">
        <v>37355</v>
      </c>
      <c r="I395">
        <v>10</v>
      </c>
      <c r="J395">
        <v>0.22</v>
      </c>
      <c r="K395">
        <v>0.46</v>
      </c>
      <c r="L395">
        <v>4.4000000000000004</v>
      </c>
      <c r="M395">
        <v>4.5</v>
      </c>
      <c r="N395">
        <v>4.38</v>
      </c>
      <c r="O395">
        <v>4.4000000000000004</v>
      </c>
      <c r="P395">
        <v>66.66</v>
      </c>
      <c r="Q395">
        <v>16551373</v>
      </c>
      <c r="R395">
        <v>0.67</v>
      </c>
      <c r="S395" t="s">
        <v>117</v>
      </c>
      <c r="T395" t="s">
        <v>151</v>
      </c>
      <c r="U395">
        <v>2.73</v>
      </c>
      <c r="V395">
        <v>4.43</v>
      </c>
      <c r="W395">
        <v>18735</v>
      </c>
      <c r="X395">
        <v>18620</v>
      </c>
      <c r="Y395">
        <v>1.01</v>
      </c>
      <c r="Z395">
        <v>382</v>
      </c>
      <c r="AA395">
        <v>343</v>
      </c>
      <c r="AB395" t="s">
        <v>31</v>
      </c>
    </row>
    <row r="396" spans="1:28">
      <c r="A396" t="str">
        <f>"600489"</f>
        <v>600489</v>
      </c>
      <c r="B396" t="s">
        <v>551</v>
      </c>
      <c r="C396">
        <v>0.43</v>
      </c>
      <c r="D396">
        <v>9.25</v>
      </c>
      <c r="E396">
        <v>0.04</v>
      </c>
      <c r="F396">
        <v>9.24</v>
      </c>
      <c r="G396">
        <v>9.26</v>
      </c>
      <c r="H396">
        <v>95299</v>
      </c>
      <c r="I396">
        <v>30</v>
      </c>
      <c r="J396">
        <v>-0.21</v>
      </c>
      <c r="K396">
        <v>0.32</v>
      </c>
      <c r="L396">
        <v>9.19</v>
      </c>
      <c r="M396">
        <v>9.27</v>
      </c>
      <c r="N396">
        <v>9.1199999999999992</v>
      </c>
      <c r="O396">
        <v>9.2100000000000009</v>
      </c>
      <c r="P396">
        <v>29.66</v>
      </c>
      <c r="Q396">
        <v>87817280</v>
      </c>
      <c r="R396">
        <v>0.73</v>
      </c>
      <c r="S396" t="s">
        <v>405</v>
      </c>
      <c r="T396" t="s">
        <v>42</v>
      </c>
      <c r="U396">
        <v>1.63</v>
      </c>
      <c r="V396">
        <v>9.2100000000000009</v>
      </c>
      <c r="W396">
        <v>57796</v>
      </c>
      <c r="X396">
        <v>37503</v>
      </c>
      <c r="Y396">
        <v>1.54</v>
      </c>
      <c r="Z396">
        <v>170</v>
      </c>
      <c r="AA396">
        <v>149</v>
      </c>
      <c r="AB396" t="s">
        <v>31</v>
      </c>
    </row>
    <row r="397" spans="1:28">
      <c r="A397" t="str">
        <f>"600490"</f>
        <v>600490</v>
      </c>
      <c r="B397" t="s">
        <v>552</v>
      </c>
      <c r="C397">
        <v>0.42</v>
      </c>
      <c r="D397">
        <v>12.01</v>
      </c>
      <c r="E397">
        <v>0.05</v>
      </c>
      <c r="F397">
        <v>12.01</v>
      </c>
      <c r="G397">
        <v>12.04</v>
      </c>
      <c r="H397">
        <v>21336</v>
      </c>
      <c r="I397">
        <v>81</v>
      </c>
      <c r="J397">
        <v>0.16</v>
      </c>
      <c r="K397">
        <v>0.43</v>
      </c>
      <c r="L397">
        <v>11.86</v>
      </c>
      <c r="M397">
        <v>12.11</v>
      </c>
      <c r="N397">
        <v>11.86</v>
      </c>
      <c r="O397">
        <v>11.96</v>
      </c>
      <c r="P397">
        <v>135.69999999999999</v>
      </c>
      <c r="Q397">
        <v>25567024</v>
      </c>
      <c r="R397">
        <v>0.32</v>
      </c>
      <c r="S397" t="s">
        <v>137</v>
      </c>
      <c r="T397" t="s">
        <v>30</v>
      </c>
      <c r="U397">
        <v>2.09</v>
      </c>
      <c r="V397">
        <v>11.98</v>
      </c>
      <c r="W397">
        <v>12228</v>
      </c>
      <c r="X397">
        <v>9108</v>
      </c>
      <c r="Y397">
        <v>1.34</v>
      </c>
      <c r="Z397">
        <v>259</v>
      </c>
      <c r="AA397">
        <v>26</v>
      </c>
      <c r="AB397" t="s">
        <v>31</v>
      </c>
    </row>
    <row r="398" spans="1:28">
      <c r="A398" t="str">
        <f>"600491"</f>
        <v>600491</v>
      </c>
      <c r="B398" t="s">
        <v>553</v>
      </c>
      <c r="C398">
        <v>2.23</v>
      </c>
      <c r="D398">
        <v>3.66</v>
      </c>
      <c r="E398">
        <v>0.08</v>
      </c>
      <c r="F398">
        <v>3.65</v>
      </c>
      <c r="G398">
        <v>3.66</v>
      </c>
      <c r="H398">
        <v>51865</v>
      </c>
      <c r="I398">
        <v>13</v>
      </c>
      <c r="J398">
        <v>0</v>
      </c>
      <c r="K398">
        <v>0.55000000000000004</v>
      </c>
      <c r="L398">
        <v>3.59</v>
      </c>
      <c r="M398">
        <v>3.67</v>
      </c>
      <c r="N398">
        <v>3.57</v>
      </c>
      <c r="O398">
        <v>3.58</v>
      </c>
      <c r="P398">
        <v>19.899999999999999</v>
      </c>
      <c r="Q398">
        <v>18795986</v>
      </c>
      <c r="R398">
        <v>0.82</v>
      </c>
      <c r="S398" t="s">
        <v>87</v>
      </c>
      <c r="T398" t="s">
        <v>95</v>
      </c>
      <c r="U398">
        <v>2.79</v>
      </c>
      <c r="V398">
        <v>3.62</v>
      </c>
      <c r="W398">
        <v>19423</v>
      </c>
      <c r="X398">
        <v>32442</v>
      </c>
      <c r="Y398">
        <v>0.6</v>
      </c>
      <c r="Z398">
        <v>708</v>
      </c>
      <c r="AA398">
        <v>214</v>
      </c>
      <c r="AB398" t="s">
        <v>31</v>
      </c>
    </row>
    <row r="399" spans="1:28">
      <c r="A399" t="str">
        <f>"600493"</f>
        <v>600493</v>
      </c>
      <c r="B399" t="s">
        <v>554</v>
      </c>
      <c r="C399">
        <v>-1.47</v>
      </c>
      <c r="D399">
        <v>4.68</v>
      </c>
      <c r="E399">
        <v>-7.0000000000000007E-2</v>
      </c>
      <c r="F399">
        <v>4.67</v>
      </c>
      <c r="G399">
        <v>4.68</v>
      </c>
      <c r="H399">
        <v>64680</v>
      </c>
      <c r="I399">
        <v>55</v>
      </c>
      <c r="J399">
        <v>-0.21</v>
      </c>
      <c r="K399">
        <v>2.38</v>
      </c>
      <c r="L399">
        <v>4.75</v>
      </c>
      <c r="M399">
        <v>4.78</v>
      </c>
      <c r="N399">
        <v>4.63</v>
      </c>
      <c r="O399">
        <v>4.75</v>
      </c>
      <c r="P399">
        <v>134.79</v>
      </c>
      <c r="Q399">
        <v>30365964</v>
      </c>
      <c r="R399">
        <v>0.93</v>
      </c>
      <c r="S399" t="s">
        <v>127</v>
      </c>
      <c r="T399" t="s">
        <v>78</v>
      </c>
      <c r="U399">
        <v>3.16</v>
      </c>
      <c r="V399">
        <v>4.6900000000000004</v>
      </c>
      <c r="W399">
        <v>30656</v>
      </c>
      <c r="X399">
        <v>34024</v>
      </c>
      <c r="Y399">
        <v>0.9</v>
      </c>
      <c r="Z399">
        <v>309</v>
      </c>
      <c r="AA399">
        <v>798</v>
      </c>
      <c r="AB399" t="s">
        <v>31</v>
      </c>
    </row>
    <row r="400" spans="1:28">
      <c r="A400" t="str">
        <f>"600495"</f>
        <v>600495</v>
      </c>
      <c r="B400" t="s">
        <v>555</v>
      </c>
      <c r="C400">
        <v>5.55</v>
      </c>
      <c r="D400">
        <v>14.45</v>
      </c>
      <c r="E400">
        <v>0.76</v>
      </c>
      <c r="F400">
        <v>14.47</v>
      </c>
      <c r="G400">
        <v>14.48</v>
      </c>
      <c r="H400">
        <v>147296</v>
      </c>
      <c r="I400">
        <v>17</v>
      </c>
      <c r="J400">
        <v>0.27</v>
      </c>
      <c r="K400">
        <v>4.87</v>
      </c>
      <c r="L400">
        <v>13.68</v>
      </c>
      <c r="M400">
        <v>14.69</v>
      </c>
      <c r="N400">
        <v>13.58</v>
      </c>
      <c r="O400">
        <v>13.69</v>
      </c>
      <c r="P400">
        <v>63.3</v>
      </c>
      <c r="Q400">
        <v>209015008</v>
      </c>
      <c r="R400">
        <v>0.7</v>
      </c>
      <c r="S400" t="s">
        <v>556</v>
      </c>
      <c r="T400" t="s">
        <v>212</v>
      </c>
      <c r="U400">
        <v>8.11</v>
      </c>
      <c r="V400">
        <v>14.19</v>
      </c>
      <c r="W400">
        <v>61775</v>
      </c>
      <c r="X400">
        <v>85521</v>
      </c>
      <c r="Y400">
        <v>0.72</v>
      </c>
      <c r="Z400">
        <v>10</v>
      </c>
      <c r="AA400">
        <v>62</v>
      </c>
      <c r="AB400" t="s">
        <v>31</v>
      </c>
    </row>
    <row r="401" spans="1:28">
      <c r="A401" t="str">
        <f>"600496"</f>
        <v>600496</v>
      </c>
      <c r="B401" t="s">
        <v>557</v>
      </c>
      <c r="C401">
        <v>1.1200000000000001</v>
      </c>
      <c r="D401">
        <v>7.21</v>
      </c>
      <c r="E401">
        <v>0.08</v>
      </c>
      <c r="F401">
        <v>7.2</v>
      </c>
      <c r="G401">
        <v>7.21</v>
      </c>
      <c r="H401">
        <v>16309</v>
      </c>
      <c r="I401">
        <v>90</v>
      </c>
      <c r="J401">
        <v>0.13</v>
      </c>
      <c r="K401">
        <v>0.28000000000000003</v>
      </c>
      <c r="L401">
        <v>7.11</v>
      </c>
      <c r="M401">
        <v>7.23</v>
      </c>
      <c r="N401">
        <v>7.11</v>
      </c>
      <c r="O401">
        <v>7.13</v>
      </c>
      <c r="P401">
        <v>19.559999999999999</v>
      </c>
      <c r="Q401">
        <v>11685398</v>
      </c>
      <c r="R401">
        <v>0.37</v>
      </c>
      <c r="S401" t="s">
        <v>254</v>
      </c>
      <c r="T401" t="s">
        <v>52</v>
      </c>
      <c r="U401">
        <v>1.68</v>
      </c>
      <c r="V401">
        <v>7.16</v>
      </c>
      <c r="W401">
        <v>7813</v>
      </c>
      <c r="X401">
        <v>8496</v>
      </c>
      <c r="Y401">
        <v>0.92</v>
      </c>
      <c r="Z401">
        <v>285</v>
      </c>
      <c r="AA401">
        <v>257</v>
      </c>
      <c r="AB401" t="s">
        <v>31</v>
      </c>
    </row>
    <row r="402" spans="1:28">
      <c r="A402" t="str">
        <f>"600497"</f>
        <v>600497</v>
      </c>
      <c r="B402" t="s">
        <v>558</v>
      </c>
      <c r="C402">
        <v>2.71</v>
      </c>
      <c r="D402">
        <v>9.86</v>
      </c>
      <c r="E402">
        <v>0.26</v>
      </c>
      <c r="F402">
        <v>9.85</v>
      </c>
      <c r="G402">
        <v>9.86</v>
      </c>
      <c r="H402">
        <v>65008</v>
      </c>
      <c r="I402">
        <v>13</v>
      </c>
      <c r="J402">
        <v>0.1</v>
      </c>
      <c r="K402">
        <v>0.39</v>
      </c>
      <c r="L402">
        <v>9.6999999999999993</v>
      </c>
      <c r="M402">
        <v>9.9</v>
      </c>
      <c r="N402">
        <v>9.61</v>
      </c>
      <c r="O402">
        <v>9.6</v>
      </c>
      <c r="P402">
        <v>24.52</v>
      </c>
      <c r="Q402">
        <v>63766784</v>
      </c>
      <c r="R402">
        <v>1.21</v>
      </c>
      <c r="S402" t="s">
        <v>426</v>
      </c>
      <c r="T402" t="s">
        <v>170</v>
      </c>
      <c r="U402">
        <v>3.02</v>
      </c>
      <c r="V402">
        <v>9.81</v>
      </c>
      <c r="W402">
        <v>34672</v>
      </c>
      <c r="X402">
        <v>30336</v>
      </c>
      <c r="Y402">
        <v>1.1399999999999999</v>
      </c>
      <c r="Z402">
        <v>91</v>
      </c>
      <c r="AA402">
        <v>37</v>
      </c>
      <c r="AB402" t="s">
        <v>31</v>
      </c>
    </row>
    <row r="403" spans="1:28">
      <c r="A403" t="str">
        <f>"600498"</f>
        <v>600498</v>
      </c>
      <c r="B403" t="s">
        <v>559</v>
      </c>
      <c r="C403">
        <v>0.68</v>
      </c>
      <c r="D403">
        <v>16.23</v>
      </c>
      <c r="E403">
        <v>0.11</v>
      </c>
      <c r="F403">
        <v>16.23</v>
      </c>
      <c r="G403">
        <v>16.239999999999998</v>
      </c>
      <c r="H403">
        <v>129060</v>
      </c>
      <c r="I403">
        <v>26</v>
      </c>
      <c r="J403">
        <v>-0.06</v>
      </c>
      <c r="K403">
        <v>1.34</v>
      </c>
      <c r="L403">
        <v>16.100000000000001</v>
      </c>
      <c r="M403">
        <v>16.32</v>
      </c>
      <c r="N403">
        <v>15.76</v>
      </c>
      <c r="O403">
        <v>16.12</v>
      </c>
      <c r="P403">
        <v>30.09</v>
      </c>
      <c r="Q403">
        <v>206633184</v>
      </c>
      <c r="R403">
        <v>0.91</v>
      </c>
      <c r="S403" t="s">
        <v>140</v>
      </c>
      <c r="T403" t="s">
        <v>37</v>
      </c>
      <c r="U403">
        <v>3.47</v>
      </c>
      <c r="V403">
        <v>16.010000000000002</v>
      </c>
      <c r="W403">
        <v>71414</v>
      </c>
      <c r="X403">
        <v>57646</v>
      </c>
      <c r="Y403">
        <v>1.24</v>
      </c>
      <c r="Z403">
        <v>51</v>
      </c>
      <c r="AA403">
        <v>406</v>
      </c>
      <c r="AB403" t="s">
        <v>31</v>
      </c>
    </row>
    <row r="404" spans="1:28">
      <c r="A404" t="str">
        <f>"600499"</f>
        <v>600499</v>
      </c>
      <c r="B404" t="s">
        <v>560</v>
      </c>
      <c r="C404">
        <v>-1.1200000000000001</v>
      </c>
      <c r="D404">
        <v>20.3</v>
      </c>
      <c r="E404">
        <v>-0.23</v>
      </c>
      <c r="F404">
        <v>20.28</v>
      </c>
      <c r="G404">
        <v>20.29</v>
      </c>
      <c r="H404">
        <v>105910</v>
      </c>
      <c r="I404">
        <v>7</v>
      </c>
      <c r="J404">
        <v>0.09</v>
      </c>
      <c r="K404">
        <v>1.65</v>
      </c>
      <c r="L404">
        <v>20.5</v>
      </c>
      <c r="M404">
        <v>20.81</v>
      </c>
      <c r="N404">
        <v>19.88</v>
      </c>
      <c r="O404">
        <v>20.53</v>
      </c>
      <c r="P404">
        <v>34.76</v>
      </c>
      <c r="Q404">
        <v>215505760</v>
      </c>
      <c r="R404">
        <v>0.52</v>
      </c>
      <c r="S404" t="s">
        <v>481</v>
      </c>
      <c r="T404" t="s">
        <v>34</v>
      </c>
      <c r="U404">
        <v>4.53</v>
      </c>
      <c r="V404">
        <v>20.350000000000001</v>
      </c>
      <c r="W404">
        <v>57717</v>
      </c>
      <c r="X404">
        <v>48193</v>
      </c>
      <c r="Y404">
        <v>1.2</v>
      </c>
      <c r="Z404">
        <v>41</v>
      </c>
      <c r="AA404">
        <v>22</v>
      </c>
      <c r="AB404" t="s">
        <v>31</v>
      </c>
    </row>
    <row r="405" spans="1:28">
      <c r="A405" t="str">
        <f>"600500"</f>
        <v>600500</v>
      </c>
      <c r="B405" t="s">
        <v>561</v>
      </c>
      <c r="C405">
        <v>5.05</v>
      </c>
      <c r="D405">
        <v>6.24</v>
      </c>
      <c r="E405">
        <v>0.3</v>
      </c>
      <c r="F405">
        <v>6.22</v>
      </c>
      <c r="G405">
        <v>6.23</v>
      </c>
      <c r="H405">
        <v>106722</v>
      </c>
      <c r="I405">
        <v>63</v>
      </c>
      <c r="J405">
        <v>0.16</v>
      </c>
      <c r="K405">
        <v>0.74</v>
      </c>
      <c r="L405">
        <v>5.88</v>
      </c>
      <c r="M405">
        <v>6.24</v>
      </c>
      <c r="N405">
        <v>5.86</v>
      </c>
      <c r="O405">
        <v>5.94</v>
      </c>
      <c r="P405">
        <v>11.89</v>
      </c>
      <c r="Q405">
        <v>65332208</v>
      </c>
      <c r="R405">
        <v>1.24</v>
      </c>
      <c r="S405" t="s">
        <v>109</v>
      </c>
      <c r="T405" t="s">
        <v>30</v>
      </c>
      <c r="U405">
        <v>6.4</v>
      </c>
      <c r="V405">
        <v>6.12</v>
      </c>
      <c r="W405">
        <v>39433</v>
      </c>
      <c r="X405">
        <v>67289</v>
      </c>
      <c r="Y405">
        <v>0.59</v>
      </c>
      <c r="Z405">
        <v>258</v>
      </c>
      <c r="AA405">
        <v>37</v>
      </c>
      <c r="AB405" t="s">
        <v>31</v>
      </c>
    </row>
    <row r="406" spans="1:28">
      <c r="A406" t="str">
        <f>"600501"</f>
        <v>600501</v>
      </c>
      <c r="B406" t="s">
        <v>562</v>
      </c>
      <c r="C406">
        <v>3.85</v>
      </c>
      <c r="D406">
        <v>7.82</v>
      </c>
      <c r="E406">
        <v>0.28999999999999998</v>
      </c>
      <c r="F406">
        <v>7.81</v>
      </c>
      <c r="G406">
        <v>7.82</v>
      </c>
      <c r="H406">
        <v>28735</v>
      </c>
      <c r="I406">
        <v>2</v>
      </c>
      <c r="J406">
        <v>0.25</v>
      </c>
      <c r="K406">
        <v>0.74</v>
      </c>
      <c r="L406">
        <v>7.54</v>
      </c>
      <c r="M406">
        <v>7.93</v>
      </c>
      <c r="N406">
        <v>7.51</v>
      </c>
      <c r="O406">
        <v>7.53</v>
      </c>
      <c r="P406">
        <v>47.86</v>
      </c>
      <c r="Q406">
        <v>22163512</v>
      </c>
      <c r="R406">
        <v>0.97</v>
      </c>
      <c r="S406" t="s">
        <v>149</v>
      </c>
      <c r="T406" t="s">
        <v>120</v>
      </c>
      <c r="U406">
        <v>5.58</v>
      </c>
      <c r="V406">
        <v>7.71</v>
      </c>
      <c r="W406">
        <v>13353</v>
      </c>
      <c r="X406">
        <v>15382</v>
      </c>
      <c r="Y406">
        <v>0.87</v>
      </c>
      <c r="Z406">
        <v>39</v>
      </c>
      <c r="AA406">
        <v>55</v>
      </c>
      <c r="AB406" t="s">
        <v>31</v>
      </c>
    </row>
    <row r="407" spans="1:28">
      <c r="A407" t="str">
        <f>"600502"</f>
        <v>600502</v>
      </c>
      <c r="B407" t="s">
        <v>563</v>
      </c>
      <c r="C407">
        <v>0.24</v>
      </c>
      <c r="D407">
        <v>8.3000000000000007</v>
      </c>
      <c r="E407">
        <v>0.02</v>
      </c>
      <c r="F407">
        <v>8.3000000000000007</v>
      </c>
      <c r="G407">
        <v>8.31</v>
      </c>
      <c r="H407">
        <v>134812</v>
      </c>
      <c r="I407">
        <v>42</v>
      </c>
      <c r="J407">
        <v>0.12</v>
      </c>
      <c r="K407">
        <v>2.69</v>
      </c>
      <c r="L407">
        <v>8.26</v>
      </c>
      <c r="M407">
        <v>8.3699999999999992</v>
      </c>
      <c r="N407">
        <v>8.1199999999999992</v>
      </c>
      <c r="O407">
        <v>8.2799999999999994</v>
      </c>
      <c r="P407">
        <v>18.170000000000002</v>
      </c>
      <c r="Q407">
        <v>111268248</v>
      </c>
      <c r="R407">
        <v>0.56000000000000005</v>
      </c>
      <c r="S407" t="s">
        <v>87</v>
      </c>
      <c r="T407" t="s">
        <v>52</v>
      </c>
      <c r="U407">
        <v>3.02</v>
      </c>
      <c r="V407">
        <v>8.25</v>
      </c>
      <c r="W407">
        <v>75432</v>
      </c>
      <c r="X407">
        <v>59380</v>
      </c>
      <c r="Y407">
        <v>1.27</v>
      </c>
      <c r="Z407">
        <v>428</v>
      </c>
      <c r="AA407">
        <v>89</v>
      </c>
      <c r="AB407" t="s">
        <v>31</v>
      </c>
    </row>
    <row r="408" spans="1:28">
      <c r="A408" t="str">
        <f>"600503"</f>
        <v>600503</v>
      </c>
      <c r="B408" t="s">
        <v>564</v>
      </c>
      <c r="C408">
        <v>0.21</v>
      </c>
      <c r="D408">
        <v>4.67</v>
      </c>
      <c r="E408">
        <v>0.01</v>
      </c>
      <c r="F408">
        <v>4.67</v>
      </c>
      <c r="G408">
        <v>4.68</v>
      </c>
      <c r="H408">
        <v>188957</v>
      </c>
      <c r="I408">
        <v>30</v>
      </c>
      <c r="J408">
        <v>0</v>
      </c>
      <c r="K408">
        <v>1.72</v>
      </c>
      <c r="L408">
        <v>4.6500000000000004</v>
      </c>
      <c r="M408">
        <v>4.72</v>
      </c>
      <c r="N408">
        <v>4.62</v>
      </c>
      <c r="O408">
        <v>4.66</v>
      </c>
      <c r="P408">
        <v>266.87</v>
      </c>
      <c r="Q408">
        <v>88204704</v>
      </c>
      <c r="R408">
        <v>0.61</v>
      </c>
      <c r="S408" t="s">
        <v>97</v>
      </c>
      <c r="T408" t="s">
        <v>30</v>
      </c>
      <c r="U408">
        <v>2.15</v>
      </c>
      <c r="V408">
        <v>4.67</v>
      </c>
      <c r="W408">
        <v>105009</v>
      </c>
      <c r="X408">
        <v>83948</v>
      </c>
      <c r="Y408">
        <v>1.25</v>
      </c>
      <c r="Z408">
        <v>947</v>
      </c>
      <c r="AA408">
        <v>984</v>
      </c>
      <c r="AB408" t="s">
        <v>31</v>
      </c>
    </row>
    <row r="409" spans="1:28">
      <c r="A409" t="str">
        <f>"600505"</f>
        <v>600505</v>
      </c>
      <c r="B409" t="s">
        <v>565</v>
      </c>
      <c r="C409">
        <v>6.47</v>
      </c>
      <c r="D409">
        <v>9.3800000000000008</v>
      </c>
      <c r="E409">
        <v>0.56999999999999995</v>
      </c>
      <c r="F409">
        <v>9.3800000000000008</v>
      </c>
      <c r="G409">
        <v>9.39</v>
      </c>
      <c r="H409">
        <v>32821</v>
      </c>
      <c r="I409">
        <v>5</v>
      </c>
      <c r="J409">
        <v>-0.1</v>
      </c>
      <c r="K409">
        <v>0.9</v>
      </c>
      <c r="L409">
        <v>8.7100000000000009</v>
      </c>
      <c r="M409">
        <v>9.4600000000000009</v>
      </c>
      <c r="N409">
        <v>8.65</v>
      </c>
      <c r="O409">
        <v>8.81</v>
      </c>
      <c r="P409">
        <v>32.31</v>
      </c>
      <c r="Q409">
        <v>30058188</v>
      </c>
      <c r="R409">
        <v>1.78</v>
      </c>
      <c r="S409" t="s">
        <v>179</v>
      </c>
      <c r="T409" t="s">
        <v>88</v>
      </c>
      <c r="U409">
        <v>9.19</v>
      </c>
      <c r="V409">
        <v>9.16</v>
      </c>
      <c r="W409">
        <v>12576</v>
      </c>
      <c r="X409">
        <v>20245</v>
      </c>
      <c r="Y409">
        <v>0.62</v>
      </c>
      <c r="Z409">
        <v>11</v>
      </c>
      <c r="AA409">
        <v>5</v>
      </c>
      <c r="AB409" t="s">
        <v>31</v>
      </c>
    </row>
    <row r="410" spans="1:28">
      <c r="A410" t="str">
        <f>"600506"</f>
        <v>600506</v>
      </c>
      <c r="B410" t="s">
        <v>566</v>
      </c>
      <c r="C410">
        <v>0.1</v>
      </c>
      <c r="D410">
        <v>10.25</v>
      </c>
      <c r="E410">
        <v>0.01</v>
      </c>
      <c r="F410">
        <v>10.24</v>
      </c>
      <c r="G410">
        <v>10.25</v>
      </c>
      <c r="H410">
        <v>20870</v>
      </c>
      <c r="I410">
        <v>18</v>
      </c>
      <c r="J410">
        <v>0.49</v>
      </c>
      <c r="K410">
        <v>1.41</v>
      </c>
      <c r="L410">
        <v>10.08</v>
      </c>
      <c r="M410">
        <v>10.37</v>
      </c>
      <c r="N410">
        <v>10.08</v>
      </c>
      <c r="O410">
        <v>10.24</v>
      </c>
      <c r="P410">
        <v>496.03</v>
      </c>
      <c r="Q410">
        <v>21357414</v>
      </c>
      <c r="R410">
        <v>0.56000000000000005</v>
      </c>
      <c r="S410" t="s">
        <v>408</v>
      </c>
      <c r="T410" t="s">
        <v>138</v>
      </c>
      <c r="U410">
        <v>2.83</v>
      </c>
      <c r="V410">
        <v>10.23</v>
      </c>
      <c r="W410">
        <v>13194</v>
      </c>
      <c r="X410">
        <v>7676</v>
      </c>
      <c r="Y410">
        <v>1.72</v>
      </c>
      <c r="Z410">
        <v>11</v>
      </c>
      <c r="AA410">
        <v>14</v>
      </c>
      <c r="AB410" t="s">
        <v>31</v>
      </c>
    </row>
    <row r="411" spans="1:28">
      <c r="A411" t="str">
        <f>"600507"</f>
        <v>600507</v>
      </c>
      <c r="B411" t="s">
        <v>567</v>
      </c>
      <c r="C411">
        <v>3.01</v>
      </c>
      <c r="D411">
        <v>3.77</v>
      </c>
      <c r="E411">
        <v>0.11</v>
      </c>
      <c r="F411">
        <v>3.76</v>
      </c>
      <c r="G411">
        <v>3.77</v>
      </c>
      <c r="H411">
        <v>90639</v>
      </c>
      <c r="I411">
        <v>99</v>
      </c>
      <c r="J411">
        <v>0.26</v>
      </c>
      <c r="K411">
        <v>0.69</v>
      </c>
      <c r="L411">
        <v>3.65</v>
      </c>
      <c r="M411">
        <v>3.84</v>
      </c>
      <c r="N411">
        <v>3.61</v>
      </c>
      <c r="O411">
        <v>3.66</v>
      </c>
      <c r="P411">
        <v>9.01</v>
      </c>
      <c r="Q411">
        <v>33835164</v>
      </c>
      <c r="R411">
        <v>1.52</v>
      </c>
      <c r="S411" t="s">
        <v>202</v>
      </c>
      <c r="T411" t="s">
        <v>99</v>
      </c>
      <c r="U411">
        <v>6.28</v>
      </c>
      <c r="V411">
        <v>3.73</v>
      </c>
      <c r="W411">
        <v>38610</v>
      </c>
      <c r="X411">
        <v>52029</v>
      </c>
      <c r="Y411">
        <v>0.74</v>
      </c>
      <c r="Z411">
        <v>46</v>
      </c>
      <c r="AA411">
        <v>916</v>
      </c>
      <c r="AB411" t="s">
        <v>31</v>
      </c>
    </row>
    <row r="412" spans="1:28">
      <c r="A412" t="str">
        <f>"600508"</f>
        <v>600508</v>
      </c>
      <c r="B412" t="s">
        <v>568</v>
      </c>
      <c r="C412">
        <v>1.69</v>
      </c>
      <c r="D412">
        <v>10.23</v>
      </c>
      <c r="E412">
        <v>0.17</v>
      </c>
      <c r="F412">
        <v>10.220000000000001</v>
      </c>
      <c r="G412">
        <v>10.23</v>
      </c>
      <c r="H412">
        <v>24219</v>
      </c>
      <c r="I412">
        <v>13</v>
      </c>
      <c r="J412">
        <v>0.19</v>
      </c>
      <c r="K412">
        <v>0.34</v>
      </c>
      <c r="L412">
        <v>10.06</v>
      </c>
      <c r="M412">
        <v>10.28</v>
      </c>
      <c r="N412">
        <v>10</v>
      </c>
      <c r="O412">
        <v>10.06</v>
      </c>
      <c r="P412">
        <v>26.68</v>
      </c>
      <c r="Q412">
        <v>24665740</v>
      </c>
      <c r="R412">
        <v>0.63</v>
      </c>
      <c r="S412" t="s">
        <v>208</v>
      </c>
      <c r="T412" t="s">
        <v>30</v>
      </c>
      <c r="U412">
        <v>2.78</v>
      </c>
      <c r="V412">
        <v>10.18</v>
      </c>
      <c r="W412">
        <v>12599</v>
      </c>
      <c r="X412">
        <v>11620</v>
      </c>
      <c r="Y412">
        <v>1.08</v>
      </c>
      <c r="Z412">
        <v>36</v>
      </c>
      <c r="AA412">
        <v>171</v>
      </c>
      <c r="AB412" t="s">
        <v>31</v>
      </c>
    </row>
    <row r="413" spans="1:28">
      <c r="A413" t="str">
        <f>"600509"</f>
        <v>600509</v>
      </c>
      <c r="B413" t="s">
        <v>569</v>
      </c>
      <c r="C413">
        <v>1.24</v>
      </c>
      <c r="D413">
        <v>9</v>
      </c>
      <c r="E413">
        <v>0.11</v>
      </c>
      <c r="F413">
        <v>9</v>
      </c>
      <c r="G413">
        <v>9.01</v>
      </c>
      <c r="H413">
        <v>122283</v>
      </c>
      <c r="I413">
        <v>69</v>
      </c>
      <c r="J413">
        <v>0</v>
      </c>
      <c r="K413">
        <v>1.86</v>
      </c>
      <c r="L413">
        <v>8.85</v>
      </c>
      <c r="M413">
        <v>9.1300000000000008</v>
      </c>
      <c r="N413">
        <v>8.8000000000000007</v>
      </c>
      <c r="O413">
        <v>8.89</v>
      </c>
      <c r="P413">
        <v>27.75</v>
      </c>
      <c r="Q413">
        <v>110000288</v>
      </c>
      <c r="R413">
        <v>2.75</v>
      </c>
      <c r="S413" t="s">
        <v>49</v>
      </c>
      <c r="T413" t="s">
        <v>138</v>
      </c>
      <c r="U413">
        <v>3.71</v>
      </c>
      <c r="V413">
        <v>9</v>
      </c>
      <c r="W413">
        <v>64289</v>
      </c>
      <c r="X413">
        <v>57994</v>
      </c>
      <c r="Y413">
        <v>1.1100000000000001</v>
      </c>
      <c r="Z413">
        <v>164</v>
      </c>
      <c r="AA413">
        <v>203</v>
      </c>
      <c r="AB413" t="s">
        <v>31</v>
      </c>
    </row>
    <row r="414" spans="1:28">
      <c r="A414" t="str">
        <f>"600510"</f>
        <v>600510</v>
      </c>
      <c r="B414" t="s">
        <v>570</v>
      </c>
      <c r="C414">
        <v>9.9600000000000009</v>
      </c>
      <c r="D414">
        <v>6.07</v>
      </c>
      <c r="E414">
        <v>0.55000000000000004</v>
      </c>
      <c r="F414">
        <v>6.07</v>
      </c>
      <c r="G414" t="s">
        <v>31</v>
      </c>
      <c r="H414">
        <v>190265</v>
      </c>
      <c r="I414">
        <v>30</v>
      </c>
      <c r="J414">
        <v>0</v>
      </c>
      <c r="K414">
        <v>2.39</v>
      </c>
      <c r="L414">
        <v>5.59</v>
      </c>
      <c r="M414">
        <v>6.07</v>
      </c>
      <c r="N414">
        <v>5.59</v>
      </c>
      <c r="O414">
        <v>5.52</v>
      </c>
      <c r="P414">
        <v>23.26</v>
      </c>
      <c r="Q414">
        <v>114862800</v>
      </c>
      <c r="R414">
        <v>6.15</v>
      </c>
      <c r="S414" t="s">
        <v>90</v>
      </c>
      <c r="T414" t="s">
        <v>120</v>
      </c>
      <c r="U414">
        <v>8.6999999999999993</v>
      </c>
      <c r="V414">
        <v>6.04</v>
      </c>
      <c r="W414">
        <v>107076</v>
      </c>
      <c r="X414">
        <v>83189</v>
      </c>
      <c r="Y414">
        <v>1.29</v>
      </c>
      <c r="Z414">
        <v>3819</v>
      </c>
      <c r="AA414">
        <v>0</v>
      </c>
      <c r="AB414" t="s">
        <v>31</v>
      </c>
    </row>
    <row r="415" spans="1:28">
      <c r="A415" t="str">
        <f>"600511"</f>
        <v>600511</v>
      </c>
      <c r="B415" t="s">
        <v>571</v>
      </c>
      <c r="C415">
        <v>-1.03</v>
      </c>
      <c r="D415">
        <v>17.25</v>
      </c>
      <c r="E415">
        <v>-0.18</v>
      </c>
      <c r="F415">
        <v>17.25</v>
      </c>
      <c r="G415">
        <v>17.260000000000002</v>
      </c>
      <c r="H415">
        <v>28119</v>
      </c>
      <c r="I415">
        <v>3</v>
      </c>
      <c r="J415">
        <v>-0.11</v>
      </c>
      <c r="K415">
        <v>1.01</v>
      </c>
      <c r="L415">
        <v>17.43</v>
      </c>
      <c r="M415">
        <v>17.510000000000002</v>
      </c>
      <c r="N415">
        <v>16.88</v>
      </c>
      <c r="O415">
        <v>17.43</v>
      </c>
      <c r="P415">
        <v>19.28</v>
      </c>
      <c r="Q415">
        <v>48389672</v>
      </c>
      <c r="R415">
        <v>0.52</v>
      </c>
      <c r="S415" t="s">
        <v>105</v>
      </c>
      <c r="T415" t="s">
        <v>42</v>
      </c>
      <c r="U415">
        <v>3.61</v>
      </c>
      <c r="V415">
        <v>17.21</v>
      </c>
      <c r="W415">
        <v>17527</v>
      </c>
      <c r="X415">
        <v>10592</v>
      </c>
      <c r="Y415">
        <v>1.65</v>
      </c>
      <c r="Z415">
        <v>7</v>
      </c>
      <c r="AA415">
        <v>77</v>
      </c>
      <c r="AB415" t="s">
        <v>31</v>
      </c>
    </row>
    <row r="416" spans="1:28">
      <c r="A416" t="str">
        <f>"600512"</f>
        <v>600512</v>
      </c>
      <c r="B416" t="s">
        <v>572</v>
      </c>
      <c r="C416">
        <v>0.67</v>
      </c>
      <c r="D416">
        <v>3.02</v>
      </c>
      <c r="E416">
        <v>0.02</v>
      </c>
      <c r="F416">
        <v>3.02</v>
      </c>
      <c r="G416">
        <v>3.03</v>
      </c>
      <c r="H416">
        <v>58484</v>
      </c>
      <c r="I416">
        <v>12</v>
      </c>
      <c r="J416">
        <v>0</v>
      </c>
      <c r="K416">
        <v>0.79</v>
      </c>
      <c r="L416">
        <v>3</v>
      </c>
      <c r="M416">
        <v>3.03</v>
      </c>
      <c r="N416">
        <v>2.97</v>
      </c>
      <c r="O416">
        <v>3</v>
      </c>
      <c r="P416">
        <v>8.06</v>
      </c>
      <c r="Q416">
        <v>17587430</v>
      </c>
      <c r="R416">
        <v>0.74</v>
      </c>
      <c r="S416" t="s">
        <v>87</v>
      </c>
      <c r="T416" t="s">
        <v>95</v>
      </c>
      <c r="U416">
        <v>2</v>
      </c>
      <c r="V416">
        <v>3.01</v>
      </c>
      <c r="W416">
        <v>30211</v>
      </c>
      <c r="X416">
        <v>28273</v>
      </c>
      <c r="Y416">
        <v>1.07</v>
      </c>
      <c r="Z416">
        <v>507</v>
      </c>
      <c r="AA416">
        <v>4382</v>
      </c>
      <c r="AB416" t="s">
        <v>31</v>
      </c>
    </row>
    <row r="417" spans="1:28">
      <c r="A417" t="str">
        <f>"600513"</f>
        <v>600513</v>
      </c>
      <c r="B417" t="s">
        <v>573</v>
      </c>
      <c r="C417">
        <v>1.73</v>
      </c>
      <c r="D417">
        <v>10.58</v>
      </c>
      <c r="E417">
        <v>0.18</v>
      </c>
      <c r="F417">
        <v>10.57</v>
      </c>
      <c r="G417">
        <v>10.58</v>
      </c>
      <c r="H417">
        <v>20184</v>
      </c>
      <c r="I417">
        <v>8</v>
      </c>
      <c r="J417">
        <v>0.47</v>
      </c>
      <c r="K417">
        <v>1.33</v>
      </c>
      <c r="L417">
        <v>10.47</v>
      </c>
      <c r="M417">
        <v>10.58</v>
      </c>
      <c r="N417">
        <v>10.37</v>
      </c>
      <c r="O417">
        <v>10.4</v>
      </c>
      <c r="P417">
        <v>44.05</v>
      </c>
      <c r="Q417">
        <v>21174442</v>
      </c>
      <c r="R417">
        <v>0.56000000000000005</v>
      </c>
      <c r="S417" t="s">
        <v>117</v>
      </c>
      <c r="T417" t="s">
        <v>120</v>
      </c>
      <c r="U417">
        <v>2.02</v>
      </c>
      <c r="V417">
        <v>10.49</v>
      </c>
      <c r="W417">
        <v>10300</v>
      </c>
      <c r="X417">
        <v>9884</v>
      </c>
      <c r="Y417">
        <v>1.04</v>
      </c>
      <c r="Z417">
        <v>30</v>
      </c>
      <c r="AA417">
        <v>44</v>
      </c>
      <c r="AB417" t="s">
        <v>31</v>
      </c>
    </row>
    <row r="418" spans="1:28">
      <c r="A418" t="str">
        <f>"600515"</f>
        <v>600515</v>
      </c>
      <c r="B418" t="s">
        <v>574</v>
      </c>
      <c r="C418">
        <v>0.66</v>
      </c>
      <c r="D418">
        <v>7.61</v>
      </c>
      <c r="E418">
        <v>0.05</v>
      </c>
      <c r="F418">
        <v>7.6</v>
      </c>
      <c r="G418">
        <v>7.61</v>
      </c>
      <c r="H418">
        <v>62253</v>
      </c>
      <c r="I418">
        <v>10</v>
      </c>
      <c r="J418">
        <v>0</v>
      </c>
      <c r="K418">
        <v>2.11</v>
      </c>
      <c r="L418">
        <v>7.56</v>
      </c>
      <c r="M418">
        <v>7.7</v>
      </c>
      <c r="N418">
        <v>7.48</v>
      </c>
      <c r="O418">
        <v>7.56</v>
      </c>
      <c r="P418">
        <v>197.37</v>
      </c>
      <c r="Q418">
        <v>47276344</v>
      </c>
      <c r="R418">
        <v>0.68</v>
      </c>
      <c r="S418" t="s">
        <v>374</v>
      </c>
      <c r="T418" t="s">
        <v>302</v>
      </c>
      <c r="U418">
        <v>2.91</v>
      </c>
      <c r="V418">
        <v>7.59</v>
      </c>
      <c r="W418">
        <v>33884</v>
      </c>
      <c r="X418">
        <v>28369</v>
      </c>
      <c r="Y418">
        <v>1.19</v>
      </c>
      <c r="Z418">
        <v>9</v>
      </c>
      <c r="AA418">
        <v>84</v>
      </c>
      <c r="AB418" t="s">
        <v>31</v>
      </c>
    </row>
    <row r="419" spans="1:28">
      <c r="A419" t="str">
        <f>"600516"</f>
        <v>600516</v>
      </c>
      <c r="B419" t="s">
        <v>575</v>
      </c>
      <c r="C419">
        <v>1.06</v>
      </c>
      <c r="D419">
        <v>7.63</v>
      </c>
      <c r="E419">
        <v>0.08</v>
      </c>
      <c r="F419">
        <v>7.63</v>
      </c>
      <c r="G419">
        <v>7.64</v>
      </c>
      <c r="H419">
        <v>72264</v>
      </c>
      <c r="I419">
        <v>15</v>
      </c>
      <c r="J419">
        <v>0.13</v>
      </c>
      <c r="K419">
        <v>0.47</v>
      </c>
      <c r="L419">
        <v>7.56</v>
      </c>
      <c r="M419">
        <v>7.64</v>
      </c>
      <c r="N419">
        <v>7.5</v>
      </c>
      <c r="O419">
        <v>7.55</v>
      </c>
      <c r="P419">
        <v>39.28</v>
      </c>
      <c r="Q419">
        <v>54738040</v>
      </c>
      <c r="R419">
        <v>0.66</v>
      </c>
      <c r="S419" t="s">
        <v>264</v>
      </c>
      <c r="T419" t="s">
        <v>188</v>
      </c>
      <c r="U419">
        <v>1.85</v>
      </c>
      <c r="V419">
        <v>7.57</v>
      </c>
      <c r="W419">
        <v>31736</v>
      </c>
      <c r="X419">
        <v>40528</v>
      </c>
      <c r="Y419">
        <v>0.78</v>
      </c>
      <c r="Z419">
        <v>158</v>
      </c>
      <c r="AA419">
        <v>423</v>
      </c>
      <c r="AB419" t="s">
        <v>31</v>
      </c>
    </row>
    <row r="420" spans="1:28">
      <c r="A420" t="str">
        <f>"600517"</f>
        <v>600517</v>
      </c>
      <c r="B420" t="s">
        <v>576</v>
      </c>
      <c r="C420">
        <v>-1.85</v>
      </c>
      <c r="D420">
        <v>12.76</v>
      </c>
      <c r="E420">
        <v>-0.24</v>
      </c>
      <c r="F420">
        <v>12.75</v>
      </c>
      <c r="G420">
        <v>12.76</v>
      </c>
      <c r="H420">
        <v>53886</v>
      </c>
      <c r="I420">
        <v>2</v>
      </c>
      <c r="J420">
        <v>7.0000000000000007E-2</v>
      </c>
      <c r="K420">
        <v>0.87</v>
      </c>
      <c r="L420">
        <v>12.88</v>
      </c>
      <c r="M420">
        <v>13.28</v>
      </c>
      <c r="N420">
        <v>12.4</v>
      </c>
      <c r="O420">
        <v>13</v>
      </c>
      <c r="P420">
        <v>73.3</v>
      </c>
      <c r="Q420">
        <v>68863232</v>
      </c>
      <c r="R420">
        <v>1.81</v>
      </c>
      <c r="S420" t="s">
        <v>161</v>
      </c>
      <c r="T420" t="s">
        <v>30</v>
      </c>
      <c r="U420">
        <v>6.77</v>
      </c>
      <c r="V420">
        <v>12.78</v>
      </c>
      <c r="W420">
        <v>30629</v>
      </c>
      <c r="X420">
        <v>23257</v>
      </c>
      <c r="Y420">
        <v>1.32</v>
      </c>
      <c r="Z420">
        <v>224</v>
      </c>
      <c r="AA420">
        <v>15</v>
      </c>
      <c r="AB420" t="s">
        <v>31</v>
      </c>
    </row>
    <row r="421" spans="1:28">
      <c r="A421" t="str">
        <f>"600518"</f>
        <v>600518</v>
      </c>
      <c r="B421" t="s">
        <v>577</v>
      </c>
      <c r="C421">
        <v>4.93</v>
      </c>
      <c r="D421">
        <v>20</v>
      </c>
      <c r="E421">
        <v>0.94</v>
      </c>
      <c r="F421">
        <v>19.989999999999998</v>
      </c>
      <c r="G421">
        <v>20</v>
      </c>
      <c r="H421">
        <v>333626</v>
      </c>
      <c r="I421">
        <v>52</v>
      </c>
      <c r="J421">
        <v>0.05</v>
      </c>
      <c r="K421">
        <v>1.52</v>
      </c>
      <c r="L421">
        <v>19.32</v>
      </c>
      <c r="M421">
        <v>20.100000000000001</v>
      </c>
      <c r="N421">
        <v>19.32</v>
      </c>
      <c r="O421">
        <v>19.059999999999999</v>
      </c>
      <c r="P421">
        <v>23.78</v>
      </c>
      <c r="Q421">
        <v>661603904</v>
      </c>
      <c r="R421">
        <v>1.53</v>
      </c>
      <c r="S421" t="s">
        <v>156</v>
      </c>
      <c r="T421" t="s">
        <v>34</v>
      </c>
      <c r="U421">
        <v>4.09</v>
      </c>
      <c r="V421">
        <v>19.829999999999998</v>
      </c>
      <c r="W421">
        <v>141791</v>
      </c>
      <c r="X421">
        <v>191835</v>
      </c>
      <c r="Y421">
        <v>0.74</v>
      </c>
      <c r="Z421">
        <v>159</v>
      </c>
      <c r="AA421">
        <v>209</v>
      </c>
      <c r="AB421" t="s">
        <v>31</v>
      </c>
    </row>
    <row r="422" spans="1:28">
      <c r="A422" t="str">
        <f>"600519"</f>
        <v>600519</v>
      </c>
      <c r="B422" t="s">
        <v>578</v>
      </c>
      <c r="C422">
        <v>-0.16</v>
      </c>
      <c r="D422">
        <v>132.59</v>
      </c>
      <c r="E422">
        <v>-0.21</v>
      </c>
      <c r="F422">
        <v>132.47999999999999</v>
      </c>
      <c r="G422">
        <v>132.5</v>
      </c>
      <c r="H422">
        <v>25343</v>
      </c>
      <c r="I422">
        <v>25</v>
      </c>
      <c r="J422">
        <v>0</v>
      </c>
      <c r="K422">
        <v>0.24</v>
      </c>
      <c r="L422">
        <v>132.97999999999999</v>
      </c>
      <c r="M422">
        <v>133.30000000000001</v>
      </c>
      <c r="N422">
        <v>131.96</v>
      </c>
      <c r="O422">
        <v>132.80000000000001</v>
      </c>
      <c r="P422">
        <v>9.33</v>
      </c>
      <c r="Q422">
        <v>335579616</v>
      </c>
      <c r="R422">
        <v>0.71</v>
      </c>
      <c r="S422" t="s">
        <v>291</v>
      </c>
      <c r="T422" t="s">
        <v>195</v>
      </c>
      <c r="U422">
        <v>1.01</v>
      </c>
      <c r="V422">
        <v>132.41</v>
      </c>
      <c r="W422">
        <v>12472</v>
      </c>
      <c r="X422">
        <v>12871</v>
      </c>
      <c r="Y422">
        <v>0.97</v>
      </c>
      <c r="Z422">
        <v>33</v>
      </c>
      <c r="AA422">
        <v>2</v>
      </c>
      <c r="AB422" t="s">
        <v>31</v>
      </c>
    </row>
    <row r="423" spans="1:28">
      <c r="A423" t="str">
        <f>"600520"</f>
        <v>600520</v>
      </c>
      <c r="B423" t="s">
        <v>579</v>
      </c>
      <c r="C423">
        <v>0.91</v>
      </c>
      <c r="D423">
        <v>8.89</v>
      </c>
      <c r="E423">
        <v>0.08</v>
      </c>
      <c r="F423">
        <v>8.8699999999999992</v>
      </c>
      <c r="G423">
        <v>8.89</v>
      </c>
      <c r="H423">
        <v>8932</v>
      </c>
      <c r="I423">
        <v>1</v>
      </c>
      <c r="J423">
        <v>0</v>
      </c>
      <c r="K423">
        <v>0.79</v>
      </c>
      <c r="L423">
        <v>8.7100000000000009</v>
      </c>
      <c r="M423">
        <v>8.92</v>
      </c>
      <c r="N423">
        <v>8.44</v>
      </c>
      <c r="O423">
        <v>8.81</v>
      </c>
      <c r="P423">
        <v>71.91</v>
      </c>
      <c r="Q423">
        <v>7887211</v>
      </c>
      <c r="R423">
        <v>0.85</v>
      </c>
      <c r="S423" t="s">
        <v>198</v>
      </c>
      <c r="T423" t="s">
        <v>52</v>
      </c>
      <c r="U423">
        <v>5.45</v>
      </c>
      <c r="V423">
        <v>8.83</v>
      </c>
      <c r="W423">
        <v>4796</v>
      </c>
      <c r="X423">
        <v>4136</v>
      </c>
      <c r="Y423">
        <v>1.1599999999999999</v>
      </c>
      <c r="Z423">
        <v>84</v>
      </c>
      <c r="AA423">
        <v>80</v>
      </c>
      <c r="AB423" t="s">
        <v>31</v>
      </c>
    </row>
    <row r="424" spans="1:28">
      <c r="A424" t="str">
        <f>"600521"</f>
        <v>600521</v>
      </c>
      <c r="B424" t="s">
        <v>580</v>
      </c>
      <c r="C424">
        <v>0.16</v>
      </c>
      <c r="D424">
        <v>12.31</v>
      </c>
      <c r="E424">
        <v>0.02</v>
      </c>
      <c r="F424">
        <v>12.29</v>
      </c>
      <c r="G424">
        <v>12.31</v>
      </c>
      <c r="H424">
        <v>136329</v>
      </c>
      <c r="I424">
        <v>86</v>
      </c>
      <c r="J424">
        <v>-0.16</v>
      </c>
      <c r="K424">
        <v>1.75</v>
      </c>
      <c r="L424">
        <v>12.1</v>
      </c>
      <c r="M424">
        <v>12.4</v>
      </c>
      <c r="N424">
        <v>12.03</v>
      </c>
      <c r="O424">
        <v>12.29</v>
      </c>
      <c r="P424">
        <v>25.48</v>
      </c>
      <c r="Q424">
        <v>167182352</v>
      </c>
      <c r="R424">
        <v>0.82</v>
      </c>
      <c r="S424" t="s">
        <v>117</v>
      </c>
      <c r="T424" t="s">
        <v>95</v>
      </c>
      <c r="U424">
        <v>3.01</v>
      </c>
      <c r="V424">
        <v>12.26</v>
      </c>
      <c r="W424">
        <v>71121</v>
      </c>
      <c r="X424">
        <v>65208</v>
      </c>
      <c r="Y424">
        <v>1.0900000000000001</v>
      </c>
      <c r="Z424">
        <v>203</v>
      </c>
      <c r="AA424">
        <v>16</v>
      </c>
      <c r="AB424" t="s">
        <v>31</v>
      </c>
    </row>
    <row r="425" spans="1:28">
      <c r="A425" t="str">
        <f>"600522"</f>
        <v>600522</v>
      </c>
      <c r="B425" t="s">
        <v>581</v>
      </c>
      <c r="C425">
        <v>0.48</v>
      </c>
      <c r="D425">
        <v>10.55</v>
      </c>
      <c r="E425">
        <v>0.05</v>
      </c>
      <c r="F425">
        <v>10.53</v>
      </c>
      <c r="G425">
        <v>10.54</v>
      </c>
      <c r="H425">
        <v>141896</v>
      </c>
      <c r="I425">
        <v>14</v>
      </c>
      <c r="J425">
        <v>0.09</v>
      </c>
      <c r="K425">
        <v>2.0099999999999998</v>
      </c>
      <c r="L425">
        <v>10.49</v>
      </c>
      <c r="M425">
        <v>10.58</v>
      </c>
      <c r="N425">
        <v>10.33</v>
      </c>
      <c r="O425">
        <v>10.5</v>
      </c>
      <c r="P425">
        <v>13.98</v>
      </c>
      <c r="Q425">
        <v>148739696</v>
      </c>
      <c r="R425">
        <v>0.85</v>
      </c>
      <c r="S425" t="s">
        <v>140</v>
      </c>
      <c r="T425" t="s">
        <v>120</v>
      </c>
      <c r="U425">
        <v>2.38</v>
      </c>
      <c r="V425">
        <v>10.48</v>
      </c>
      <c r="W425">
        <v>73550</v>
      </c>
      <c r="X425">
        <v>68346</v>
      </c>
      <c r="Y425">
        <v>1.08</v>
      </c>
      <c r="Z425">
        <v>751</v>
      </c>
      <c r="AA425">
        <v>31</v>
      </c>
      <c r="AB425" t="s">
        <v>31</v>
      </c>
    </row>
    <row r="426" spans="1:28">
      <c r="A426" t="str">
        <f>"600523"</f>
        <v>600523</v>
      </c>
      <c r="B426" t="s">
        <v>582</v>
      </c>
      <c r="C426">
        <v>7.84</v>
      </c>
      <c r="D426">
        <v>12.51</v>
      </c>
      <c r="E426">
        <v>0.91</v>
      </c>
      <c r="F426">
        <v>12.5</v>
      </c>
      <c r="G426">
        <v>12.52</v>
      </c>
      <c r="H426">
        <v>115272</v>
      </c>
      <c r="I426">
        <v>22</v>
      </c>
      <c r="J426">
        <v>0</v>
      </c>
      <c r="K426">
        <v>3.99</v>
      </c>
      <c r="L426">
        <v>11.46</v>
      </c>
      <c r="M426">
        <v>12.59</v>
      </c>
      <c r="N426">
        <v>11.26</v>
      </c>
      <c r="O426">
        <v>11.6</v>
      </c>
      <c r="P426">
        <v>36.340000000000003</v>
      </c>
      <c r="Q426">
        <v>138666112</v>
      </c>
      <c r="R426">
        <v>1.21</v>
      </c>
      <c r="S426" t="s">
        <v>149</v>
      </c>
      <c r="T426" t="s">
        <v>195</v>
      </c>
      <c r="U426">
        <v>11.47</v>
      </c>
      <c r="V426">
        <v>12.03</v>
      </c>
      <c r="W426">
        <v>46343</v>
      </c>
      <c r="X426">
        <v>68929</v>
      </c>
      <c r="Y426">
        <v>0.67</v>
      </c>
      <c r="Z426">
        <v>127</v>
      </c>
      <c r="AA426">
        <v>51</v>
      </c>
      <c r="AB426" t="s">
        <v>31</v>
      </c>
    </row>
    <row r="427" spans="1:28">
      <c r="A427" t="str">
        <f>"600525"</f>
        <v>600525</v>
      </c>
      <c r="B427" t="s">
        <v>583</v>
      </c>
      <c r="C427">
        <v>9.9499999999999993</v>
      </c>
      <c r="D427">
        <v>9.61</v>
      </c>
      <c r="E427">
        <v>0.87</v>
      </c>
      <c r="F427">
        <v>9.61</v>
      </c>
      <c r="G427" t="s">
        <v>31</v>
      </c>
      <c r="H427">
        <v>488250</v>
      </c>
      <c r="I427">
        <v>27</v>
      </c>
      <c r="J427">
        <v>0</v>
      </c>
      <c r="K427">
        <v>5.65</v>
      </c>
      <c r="L427">
        <v>8.48</v>
      </c>
      <c r="M427">
        <v>9.61</v>
      </c>
      <c r="N427">
        <v>8.4</v>
      </c>
      <c r="O427">
        <v>8.74</v>
      </c>
      <c r="P427">
        <v>29.82</v>
      </c>
      <c r="Q427">
        <v>462252032</v>
      </c>
      <c r="R427">
        <v>3.12</v>
      </c>
      <c r="S427" t="s">
        <v>161</v>
      </c>
      <c r="T427" t="s">
        <v>73</v>
      </c>
      <c r="U427">
        <v>13.84</v>
      </c>
      <c r="V427">
        <v>9.4700000000000006</v>
      </c>
      <c r="W427">
        <v>261461</v>
      </c>
      <c r="X427">
        <v>226789</v>
      </c>
      <c r="Y427">
        <v>1.1499999999999999</v>
      </c>
      <c r="Z427">
        <v>262981</v>
      </c>
      <c r="AA427">
        <v>0</v>
      </c>
      <c r="AB427" t="s">
        <v>31</v>
      </c>
    </row>
    <row r="428" spans="1:28">
      <c r="A428" t="str">
        <f>"600526"</f>
        <v>600526</v>
      </c>
      <c r="B428" t="s">
        <v>584</v>
      </c>
      <c r="C428">
        <v>1.0900000000000001</v>
      </c>
      <c r="D428">
        <v>21.26</v>
      </c>
      <c r="E428">
        <v>0.23</v>
      </c>
      <c r="F428">
        <v>21.26</v>
      </c>
      <c r="G428">
        <v>21.27</v>
      </c>
      <c r="H428">
        <v>49366</v>
      </c>
      <c r="I428">
        <v>10</v>
      </c>
      <c r="J428">
        <v>0.14000000000000001</v>
      </c>
      <c r="K428">
        <v>3.53</v>
      </c>
      <c r="L428">
        <v>21.12</v>
      </c>
      <c r="M428">
        <v>21.27</v>
      </c>
      <c r="N428">
        <v>20.61</v>
      </c>
      <c r="O428">
        <v>21.03</v>
      </c>
      <c r="P428">
        <v>130.1</v>
      </c>
      <c r="Q428">
        <v>103909840</v>
      </c>
      <c r="R428">
        <v>0.57999999999999996</v>
      </c>
      <c r="S428" t="s">
        <v>481</v>
      </c>
      <c r="T428" t="s">
        <v>95</v>
      </c>
      <c r="U428">
        <v>3.14</v>
      </c>
      <c r="V428">
        <v>21.05</v>
      </c>
      <c r="W428">
        <v>23985</v>
      </c>
      <c r="X428">
        <v>25381</v>
      </c>
      <c r="Y428">
        <v>0.94</v>
      </c>
      <c r="Z428">
        <v>111</v>
      </c>
      <c r="AA428">
        <v>116</v>
      </c>
      <c r="AB428" t="s">
        <v>31</v>
      </c>
    </row>
    <row r="429" spans="1:28">
      <c r="A429" t="str">
        <f>"600527"</f>
        <v>600527</v>
      </c>
      <c r="B429" t="s">
        <v>585</v>
      </c>
      <c r="C429">
        <v>1.29</v>
      </c>
      <c r="D429">
        <v>7.09</v>
      </c>
      <c r="E429">
        <v>0.09</v>
      </c>
      <c r="F429">
        <v>7.09</v>
      </c>
      <c r="G429">
        <v>7.1</v>
      </c>
      <c r="H429">
        <v>89912</v>
      </c>
      <c r="I429">
        <v>38</v>
      </c>
      <c r="J429">
        <v>-0.28000000000000003</v>
      </c>
      <c r="K429">
        <v>1.1200000000000001</v>
      </c>
      <c r="L429">
        <v>6.82</v>
      </c>
      <c r="M429">
        <v>7.14</v>
      </c>
      <c r="N429">
        <v>6.82</v>
      </c>
      <c r="O429">
        <v>7</v>
      </c>
      <c r="P429">
        <v>24.89</v>
      </c>
      <c r="Q429">
        <v>62911092</v>
      </c>
      <c r="R429">
        <v>0.6</v>
      </c>
      <c r="S429" t="s">
        <v>115</v>
      </c>
      <c r="T429" t="s">
        <v>120</v>
      </c>
      <c r="U429">
        <v>4.57</v>
      </c>
      <c r="V429">
        <v>7</v>
      </c>
      <c r="W429">
        <v>43404</v>
      </c>
      <c r="X429">
        <v>46508</v>
      </c>
      <c r="Y429">
        <v>0.93</v>
      </c>
      <c r="Z429">
        <v>19</v>
      </c>
      <c r="AA429">
        <v>1083</v>
      </c>
      <c r="AB429" t="s">
        <v>31</v>
      </c>
    </row>
    <row r="430" spans="1:28">
      <c r="A430" t="str">
        <f>"600528"</f>
        <v>600528</v>
      </c>
      <c r="B430" t="s">
        <v>586</v>
      </c>
      <c r="C430">
        <v>2.72</v>
      </c>
      <c r="D430">
        <v>5.67</v>
      </c>
      <c r="E430">
        <v>0.15</v>
      </c>
      <c r="F430">
        <v>5.67</v>
      </c>
      <c r="G430">
        <v>5.68</v>
      </c>
      <c r="H430">
        <v>150152</v>
      </c>
      <c r="I430">
        <v>1</v>
      </c>
      <c r="J430">
        <v>0</v>
      </c>
      <c r="K430">
        <v>1.03</v>
      </c>
      <c r="L430">
        <v>5.48</v>
      </c>
      <c r="M430">
        <v>5.74</v>
      </c>
      <c r="N430">
        <v>5.39</v>
      </c>
      <c r="O430">
        <v>5.52</v>
      </c>
      <c r="P430">
        <v>25.33</v>
      </c>
      <c r="Q430">
        <v>84223616</v>
      </c>
      <c r="R430">
        <v>0.56000000000000005</v>
      </c>
      <c r="S430" t="s">
        <v>87</v>
      </c>
      <c r="T430" t="s">
        <v>88</v>
      </c>
      <c r="U430">
        <v>6.34</v>
      </c>
      <c r="V430">
        <v>5.61</v>
      </c>
      <c r="W430">
        <v>69482</v>
      </c>
      <c r="X430">
        <v>80670</v>
      </c>
      <c r="Y430">
        <v>0.86</v>
      </c>
      <c r="Z430">
        <v>31</v>
      </c>
      <c r="AA430">
        <v>1186</v>
      </c>
      <c r="AB430" t="s">
        <v>31</v>
      </c>
    </row>
    <row r="431" spans="1:28">
      <c r="A431" t="str">
        <f>"600529"</f>
        <v>600529</v>
      </c>
      <c r="B431" t="s">
        <v>587</v>
      </c>
      <c r="C431">
        <v>1.86</v>
      </c>
      <c r="D431">
        <v>9.33</v>
      </c>
      <c r="E431">
        <v>0.17</v>
      </c>
      <c r="F431">
        <v>9.33</v>
      </c>
      <c r="G431">
        <v>9.34</v>
      </c>
      <c r="H431">
        <v>31775</v>
      </c>
      <c r="I431">
        <v>55</v>
      </c>
      <c r="J431">
        <v>0</v>
      </c>
      <c r="K431">
        <v>1.23</v>
      </c>
      <c r="L431">
        <v>9.16</v>
      </c>
      <c r="M431">
        <v>9.35</v>
      </c>
      <c r="N431">
        <v>9.1</v>
      </c>
      <c r="O431">
        <v>9.16</v>
      </c>
      <c r="P431">
        <v>17.63</v>
      </c>
      <c r="Q431">
        <v>29376816</v>
      </c>
      <c r="R431">
        <v>0.85</v>
      </c>
      <c r="S431" t="s">
        <v>268</v>
      </c>
      <c r="T431" t="s">
        <v>57</v>
      </c>
      <c r="U431">
        <v>2.73</v>
      </c>
      <c r="V431">
        <v>9.25</v>
      </c>
      <c r="W431">
        <v>10777</v>
      </c>
      <c r="X431">
        <v>20998</v>
      </c>
      <c r="Y431">
        <v>0.51</v>
      </c>
      <c r="Z431">
        <v>40</v>
      </c>
      <c r="AA431">
        <v>191</v>
      </c>
      <c r="AB431" t="s">
        <v>31</v>
      </c>
    </row>
    <row r="432" spans="1:28">
      <c r="A432" t="str">
        <f>"600530"</f>
        <v>600530</v>
      </c>
      <c r="B432" t="s">
        <v>588</v>
      </c>
      <c r="C432">
        <v>1.02</v>
      </c>
      <c r="D432">
        <v>7.94</v>
      </c>
      <c r="E432">
        <v>0.08</v>
      </c>
      <c r="F432">
        <v>7.94</v>
      </c>
      <c r="G432">
        <v>7.95</v>
      </c>
      <c r="H432">
        <v>21575</v>
      </c>
      <c r="I432">
        <v>98</v>
      </c>
      <c r="J432">
        <v>0.12</v>
      </c>
      <c r="K432">
        <v>0.69</v>
      </c>
      <c r="L432">
        <v>7.88</v>
      </c>
      <c r="M432">
        <v>8</v>
      </c>
      <c r="N432">
        <v>7.82</v>
      </c>
      <c r="O432">
        <v>7.86</v>
      </c>
      <c r="P432">
        <v>45.14</v>
      </c>
      <c r="Q432">
        <v>17079124</v>
      </c>
      <c r="R432">
        <v>0.56000000000000005</v>
      </c>
      <c r="S432" t="s">
        <v>145</v>
      </c>
      <c r="T432" t="s">
        <v>30</v>
      </c>
      <c r="U432">
        <v>2.29</v>
      </c>
      <c r="V432">
        <v>7.92</v>
      </c>
      <c r="W432">
        <v>12652</v>
      </c>
      <c r="X432">
        <v>8923</v>
      </c>
      <c r="Y432">
        <v>1.42</v>
      </c>
      <c r="Z432">
        <v>4</v>
      </c>
      <c r="AA432">
        <v>249</v>
      </c>
      <c r="AB432" t="s">
        <v>31</v>
      </c>
    </row>
    <row r="433" spans="1:28">
      <c r="A433" t="str">
        <f>"600531"</f>
        <v>600531</v>
      </c>
      <c r="B433" t="s">
        <v>589</v>
      </c>
      <c r="C433">
        <v>0.53</v>
      </c>
      <c r="D433">
        <v>9.5299999999999994</v>
      </c>
      <c r="E433">
        <v>0.05</v>
      </c>
      <c r="F433">
        <v>9.5299999999999994</v>
      </c>
      <c r="G433">
        <v>9.5399999999999991</v>
      </c>
      <c r="H433">
        <v>11136</v>
      </c>
      <c r="I433">
        <v>8</v>
      </c>
      <c r="J433">
        <v>0</v>
      </c>
      <c r="K433">
        <v>0.38</v>
      </c>
      <c r="L433">
        <v>9.4600000000000009</v>
      </c>
      <c r="M433">
        <v>9.5500000000000007</v>
      </c>
      <c r="N433">
        <v>9.36</v>
      </c>
      <c r="O433">
        <v>9.48</v>
      </c>
      <c r="P433" t="s">
        <v>31</v>
      </c>
      <c r="Q433">
        <v>10558938</v>
      </c>
      <c r="R433">
        <v>0.66</v>
      </c>
      <c r="S433" t="s">
        <v>426</v>
      </c>
      <c r="T433" t="s">
        <v>61</v>
      </c>
      <c r="U433">
        <v>2</v>
      </c>
      <c r="V433">
        <v>9.48</v>
      </c>
      <c r="W433">
        <v>5928</v>
      </c>
      <c r="X433">
        <v>5208</v>
      </c>
      <c r="Y433">
        <v>1.1399999999999999</v>
      </c>
      <c r="Z433">
        <v>18</v>
      </c>
      <c r="AA433">
        <v>362</v>
      </c>
      <c r="AB433" t="s">
        <v>31</v>
      </c>
    </row>
    <row r="434" spans="1:28">
      <c r="A434" t="str">
        <f>"600532"</f>
        <v>600532</v>
      </c>
      <c r="B434" t="s">
        <v>590</v>
      </c>
      <c r="C434">
        <v>4.26</v>
      </c>
      <c r="D434">
        <v>7.83</v>
      </c>
      <c r="E434">
        <v>0.32</v>
      </c>
      <c r="F434">
        <v>7.83</v>
      </c>
      <c r="G434">
        <v>7.84</v>
      </c>
      <c r="H434">
        <v>21499</v>
      </c>
      <c r="I434">
        <v>10</v>
      </c>
      <c r="J434">
        <v>0</v>
      </c>
      <c r="K434">
        <v>1.41</v>
      </c>
      <c r="L434">
        <v>7.53</v>
      </c>
      <c r="M434">
        <v>7.84</v>
      </c>
      <c r="N434">
        <v>7.48</v>
      </c>
      <c r="O434">
        <v>7.51</v>
      </c>
      <c r="P434">
        <v>20.86</v>
      </c>
      <c r="Q434">
        <v>16547767</v>
      </c>
      <c r="R434">
        <v>1.3</v>
      </c>
      <c r="S434" t="s">
        <v>36</v>
      </c>
      <c r="T434" t="s">
        <v>57</v>
      </c>
      <c r="U434">
        <v>4.79</v>
      </c>
      <c r="V434">
        <v>7.7</v>
      </c>
      <c r="W434">
        <v>9125</v>
      </c>
      <c r="X434">
        <v>12374</v>
      </c>
      <c r="Y434">
        <v>0.74</v>
      </c>
      <c r="Z434">
        <v>35</v>
      </c>
      <c r="AA434">
        <v>122</v>
      </c>
      <c r="AB434" t="s">
        <v>31</v>
      </c>
    </row>
    <row r="435" spans="1:28">
      <c r="A435" t="str">
        <f>"600533"</f>
        <v>600533</v>
      </c>
      <c r="B435" t="s">
        <v>591</v>
      </c>
      <c r="C435">
        <v>1.55</v>
      </c>
      <c r="D435">
        <v>3.28</v>
      </c>
      <c r="E435">
        <v>0.05</v>
      </c>
      <c r="F435">
        <v>3.27</v>
      </c>
      <c r="G435">
        <v>3.28</v>
      </c>
      <c r="H435">
        <v>27189</v>
      </c>
      <c r="I435">
        <v>7</v>
      </c>
      <c r="J435">
        <v>0</v>
      </c>
      <c r="K435">
        <v>0.26</v>
      </c>
      <c r="L435">
        <v>3.21</v>
      </c>
      <c r="M435">
        <v>3.29</v>
      </c>
      <c r="N435">
        <v>3.21</v>
      </c>
      <c r="O435">
        <v>3.23</v>
      </c>
      <c r="P435">
        <v>23.17</v>
      </c>
      <c r="Q435">
        <v>8840724</v>
      </c>
      <c r="R435">
        <v>0.77</v>
      </c>
      <c r="S435" t="s">
        <v>97</v>
      </c>
      <c r="T435" t="s">
        <v>120</v>
      </c>
      <c r="U435">
        <v>2.48</v>
      </c>
      <c r="V435">
        <v>3.25</v>
      </c>
      <c r="W435">
        <v>15284</v>
      </c>
      <c r="X435">
        <v>11905</v>
      </c>
      <c r="Y435">
        <v>1.28</v>
      </c>
      <c r="Z435">
        <v>75</v>
      </c>
      <c r="AA435">
        <v>47</v>
      </c>
      <c r="AB435" t="s">
        <v>31</v>
      </c>
    </row>
    <row r="436" spans="1:28">
      <c r="A436" t="str">
        <f>"600535"</f>
        <v>600535</v>
      </c>
      <c r="B436" t="s">
        <v>592</v>
      </c>
      <c r="C436">
        <v>1.42</v>
      </c>
      <c r="D436">
        <v>40.770000000000003</v>
      </c>
      <c r="E436">
        <v>0.56999999999999995</v>
      </c>
      <c r="F436">
        <v>40.75</v>
      </c>
      <c r="G436">
        <v>40.78</v>
      </c>
      <c r="H436">
        <v>43902</v>
      </c>
      <c r="I436">
        <v>4</v>
      </c>
      <c r="J436">
        <v>0.17</v>
      </c>
      <c r="K436">
        <v>0.43</v>
      </c>
      <c r="L436">
        <v>40.28</v>
      </c>
      <c r="M436">
        <v>41.05</v>
      </c>
      <c r="N436">
        <v>40.18</v>
      </c>
      <c r="O436">
        <v>40.200000000000003</v>
      </c>
      <c r="P436">
        <v>34.96</v>
      </c>
      <c r="Q436">
        <v>178838832</v>
      </c>
      <c r="R436">
        <v>0.8</v>
      </c>
      <c r="S436" t="s">
        <v>156</v>
      </c>
      <c r="T436" t="s">
        <v>151</v>
      </c>
      <c r="U436">
        <v>2.16</v>
      </c>
      <c r="V436">
        <v>40.74</v>
      </c>
      <c r="W436">
        <v>21763</v>
      </c>
      <c r="X436">
        <v>22139</v>
      </c>
      <c r="Y436">
        <v>0.98</v>
      </c>
      <c r="Z436">
        <v>41</v>
      </c>
      <c r="AA436">
        <v>21</v>
      </c>
      <c r="AB436" t="s">
        <v>31</v>
      </c>
    </row>
    <row r="437" spans="1:28">
      <c r="A437" t="str">
        <f>"600536"</f>
        <v>600536</v>
      </c>
      <c r="B437" t="s">
        <v>593</v>
      </c>
      <c r="C437">
        <v>1.72</v>
      </c>
      <c r="D437">
        <v>42</v>
      </c>
      <c r="E437">
        <v>0.71</v>
      </c>
      <c r="F437">
        <v>41.98</v>
      </c>
      <c r="G437">
        <v>42</v>
      </c>
      <c r="H437">
        <v>63428</v>
      </c>
      <c r="I437">
        <v>45</v>
      </c>
      <c r="J437">
        <v>-0.04</v>
      </c>
      <c r="K437">
        <v>2.81</v>
      </c>
      <c r="L437">
        <v>41.29</v>
      </c>
      <c r="M437">
        <v>44.18</v>
      </c>
      <c r="N437">
        <v>40.880000000000003</v>
      </c>
      <c r="O437">
        <v>41.29</v>
      </c>
      <c r="P437">
        <v>1252.18</v>
      </c>
      <c r="Q437">
        <v>270943136</v>
      </c>
      <c r="R437">
        <v>0.68</v>
      </c>
      <c r="S437" t="s">
        <v>383</v>
      </c>
      <c r="T437" t="s">
        <v>42</v>
      </c>
      <c r="U437">
        <v>7.99</v>
      </c>
      <c r="V437">
        <v>42.72</v>
      </c>
      <c r="W437">
        <v>29389</v>
      </c>
      <c r="X437">
        <v>34039</v>
      </c>
      <c r="Y437">
        <v>0.86</v>
      </c>
      <c r="Z437">
        <v>144</v>
      </c>
      <c r="AA437">
        <v>916</v>
      </c>
      <c r="AB437" t="s">
        <v>31</v>
      </c>
    </row>
    <row r="438" spans="1:28">
      <c r="A438" t="str">
        <f>"600537"</f>
        <v>600537</v>
      </c>
      <c r="B438" t="s">
        <v>594</v>
      </c>
      <c r="C438">
        <v>-1.21</v>
      </c>
      <c r="D438">
        <v>12.25</v>
      </c>
      <c r="E438">
        <v>-0.15</v>
      </c>
      <c r="F438">
        <v>12.23</v>
      </c>
      <c r="G438">
        <v>12.25</v>
      </c>
      <c r="H438">
        <v>73197</v>
      </c>
      <c r="I438">
        <v>30</v>
      </c>
      <c r="J438">
        <v>0</v>
      </c>
      <c r="K438">
        <v>3.18</v>
      </c>
      <c r="L438">
        <v>12.29</v>
      </c>
      <c r="M438">
        <v>12.48</v>
      </c>
      <c r="N438">
        <v>11.91</v>
      </c>
      <c r="O438">
        <v>12.4</v>
      </c>
      <c r="P438">
        <v>81.349999999999994</v>
      </c>
      <c r="Q438">
        <v>89230968</v>
      </c>
      <c r="R438">
        <v>0.76</v>
      </c>
      <c r="S438" t="s">
        <v>241</v>
      </c>
      <c r="T438" t="s">
        <v>95</v>
      </c>
      <c r="U438">
        <v>4.5999999999999996</v>
      </c>
      <c r="V438">
        <v>12.19</v>
      </c>
      <c r="W438">
        <v>40965</v>
      </c>
      <c r="X438">
        <v>32232</v>
      </c>
      <c r="Y438">
        <v>1.27</v>
      </c>
      <c r="Z438">
        <v>124</v>
      </c>
      <c r="AA438">
        <v>25</v>
      </c>
      <c r="AB438" t="s">
        <v>31</v>
      </c>
    </row>
    <row r="439" spans="1:28">
      <c r="A439" t="str">
        <f>"600538"</f>
        <v>600538</v>
      </c>
      <c r="B439" t="s">
        <v>595</v>
      </c>
      <c r="C439">
        <v>-3.35</v>
      </c>
      <c r="D439">
        <v>5.2</v>
      </c>
      <c r="E439">
        <v>-0.18</v>
      </c>
      <c r="F439">
        <v>5.2</v>
      </c>
      <c r="G439">
        <v>5.21</v>
      </c>
      <c r="H439">
        <v>36747</v>
      </c>
      <c r="I439">
        <v>198</v>
      </c>
      <c r="J439">
        <v>-0.19</v>
      </c>
      <c r="K439">
        <v>1.32</v>
      </c>
      <c r="L439">
        <v>5.34</v>
      </c>
      <c r="M439">
        <v>5.34</v>
      </c>
      <c r="N439">
        <v>5.1100000000000003</v>
      </c>
      <c r="O439">
        <v>5.38</v>
      </c>
      <c r="P439" t="s">
        <v>31</v>
      </c>
      <c r="Q439">
        <v>19019086</v>
      </c>
      <c r="R439">
        <v>1</v>
      </c>
      <c r="S439" t="s">
        <v>169</v>
      </c>
      <c r="T439" t="s">
        <v>333</v>
      </c>
      <c r="U439">
        <v>4.28</v>
      </c>
      <c r="V439">
        <v>5.18</v>
      </c>
      <c r="W439">
        <v>26082</v>
      </c>
      <c r="X439">
        <v>10665</v>
      </c>
      <c r="Y439">
        <v>2.4500000000000002</v>
      </c>
      <c r="Z439">
        <v>802</v>
      </c>
      <c r="AA439">
        <v>5</v>
      </c>
      <c r="AB439" t="s">
        <v>31</v>
      </c>
    </row>
    <row r="440" spans="1:28">
      <c r="A440" t="str">
        <f>"600539"</f>
        <v>600539</v>
      </c>
      <c r="B440" t="s">
        <v>596</v>
      </c>
      <c r="C440">
        <v>1.1000000000000001</v>
      </c>
      <c r="D440">
        <v>5.49</v>
      </c>
      <c r="E440">
        <v>0.06</v>
      </c>
      <c r="F440">
        <v>5.46</v>
      </c>
      <c r="G440">
        <v>5.5</v>
      </c>
      <c r="H440">
        <v>4959</v>
      </c>
      <c r="I440">
        <v>10</v>
      </c>
      <c r="J440">
        <v>-0.18</v>
      </c>
      <c r="K440">
        <v>0.31</v>
      </c>
      <c r="L440">
        <v>5.43</v>
      </c>
      <c r="M440">
        <v>5.51</v>
      </c>
      <c r="N440">
        <v>5.4</v>
      </c>
      <c r="O440">
        <v>5.43</v>
      </c>
      <c r="P440" t="s">
        <v>31</v>
      </c>
      <c r="Q440">
        <v>2705751</v>
      </c>
      <c r="R440">
        <v>0.33</v>
      </c>
      <c r="S440" t="s">
        <v>312</v>
      </c>
      <c r="T440" t="s">
        <v>212</v>
      </c>
      <c r="U440">
        <v>2.0299999999999998</v>
      </c>
      <c r="V440">
        <v>5.46</v>
      </c>
      <c r="W440">
        <v>2276</v>
      </c>
      <c r="X440">
        <v>2683</v>
      </c>
      <c r="Y440">
        <v>0.85</v>
      </c>
      <c r="Z440">
        <v>179</v>
      </c>
      <c r="AA440">
        <v>76</v>
      </c>
      <c r="AB440" t="s">
        <v>31</v>
      </c>
    </row>
    <row r="441" spans="1:28">
      <c r="A441" t="str">
        <f>"600540"</f>
        <v>600540</v>
      </c>
      <c r="B441" t="s">
        <v>597</v>
      </c>
      <c r="C441">
        <v>1.66</v>
      </c>
      <c r="D441">
        <v>6.14</v>
      </c>
      <c r="E441">
        <v>0.1</v>
      </c>
      <c r="F441">
        <v>6.13</v>
      </c>
      <c r="G441">
        <v>6.15</v>
      </c>
      <c r="H441">
        <v>29676</v>
      </c>
      <c r="I441">
        <v>100</v>
      </c>
      <c r="J441">
        <v>0.16</v>
      </c>
      <c r="K441">
        <v>0.98</v>
      </c>
      <c r="L441">
        <v>6.01</v>
      </c>
      <c r="M441">
        <v>6.18</v>
      </c>
      <c r="N441">
        <v>5.9</v>
      </c>
      <c r="O441">
        <v>6.04</v>
      </c>
      <c r="P441">
        <v>674.2</v>
      </c>
      <c r="Q441">
        <v>18106184</v>
      </c>
      <c r="R441">
        <v>0.69</v>
      </c>
      <c r="S441" t="s">
        <v>408</v>
      </c>
      <c r="T441" t="s">
        <v>138</v>
      </c>
      <c r="U441">
        <v>4.6399999999999997</v>
      </c>
      <c r="V441">
        <v>6.1</v>
      </c>
      <c r="W441">
        <v>12619</v>
      </c>
      <c r="X441">
        <v>17057</v>
      </c>
      <c r="Y441">
        <v>0.74</v>
      </c>
      <c r="Z441">
        <v>113</v>
      </c>
      <c r="AA441">
        <v>511</v>
      </c>
      <c r="AB441" t="s">
        <v>31</v>
      </c>
    </row>
    <row r="442" spans="1:28">
      <c r="A442" t="str">
        <f>"600543"</f>
        <v>600543</v>
      </c>
      <c r="B442" t="s">
        <v>598</v>
      </c>
      <c r="C442">
        <v>0.14000000000000001</v>
      </c>
      <c r="D442">
        <v>7.25</v>
      </c>
      <c r="E442">
        <v>0.01</v>
      </c>
      <c r="F442">
        <v>7.25</v>
      </c>
      <c r="G442">
        <v>7.26</v>
      </c>
      <c r="H442">
        <v>47348</v>
      </c>
      <c r="I442">
        <v>6</v>
      </c>
      <c r="J442">
        <v>0.27</v>
      </c>
      <c r="K442">
        <v>1.47</v>
      </c>
      <c r="L442">
        <v>7.18</v>
      </c>
      <c r="M442">
        <v>7.26</v>
      </c>
      <c r="N442">
        <v>7.14</v>
      </c>
      <c r="O442">
        <v>7.24</v>
      </c>
      <c r="P442">
        <v>66.17</v>
      </c>
      <c r="Q442">
        <v>34029312</v>
      </c>
      <c r="R442">
        <v>1.05</v>
      </c>
      <c r="S442" t="s">
        <v>111</v>
      </c>
      <c r="T442" t="s">
        <v>188</v>
      </c>
      <c r="U442">
        <v>1.66</v>
      </c>
      <c r="V442">
        <v>7.19</v>
      </c>
      <c r="W442">
        <v>31746</v>
      </c>
      <c r="X442">
        <v>15602</v>
      </c>
      <c r="Y442">
        <v>2.0299999999999998</v>
      </c>
      <c r="Z442">
        <v>11</v>
      </c>
      <c r="AA442">
        <v>136</v>
      </c>
      <c r="AB442" t="s">
        <v>31</v>
      </c>
    </row>
    <row r="443" spans="1:28">
      <c r="A443" t="str">
        <f>"600545"</f>
        <v>600545</v>
      </c>
      <c r="B443" t="s">
        <v>599</v>
      </c>
      <c r="C443">
        <v>1.61</v>
      </c>
      <c r="D443">
        <v>6.32</v>
      </c>
      <c r="E443">
        <v>0.1</v>
      </c>
      <c r="F443">
        <v>6.31</v>
      </c>
      <c r="G443">
        <v>6.32</v>
      </c>
      <c r="H443">
        <v>90961</v>
      </c>
      <c r="I443">
        <v>7</v>
      </c>
      <c r="J443">
        <v>0.31</v>
      </c>
      <c r="K443">
        <v>1.35</v>
      </c>
      <c r="L443">
        <v>6.19</v>
      </c>
      <c r="M443">
        <v>6.32</v>
      </c>
      <c r="N443">
        <v>6.14</v>
      </c>
      <c r="O443">
        <v>6.22</v>
      </c>
      <c r="P443">
        <v>27.08</v>
      </c>
      <c r="Q443">
        <v>56840544</v>
      </c>
      <c r="R443">
        <v>0.89</v>
      </c>
      <c r="S443" t="s">
        <v>87</v>
      </c>
      <c r="T443" t="s">
        <v>138</v>
      </c>
      <c r="U443">
        <v>2.89</v>
      </c>
      <c r="V443">
        <v>6.25</v>
      </c>
      <c r="W443">
        <v>47635</v>
      </c>
      <c r="X443">
        <v>43326</v>
      </c>
      <c r="Y443">
        <v>1.1000000000000001</v>
      </c>
      <c r="Z443">
        <v>327</v>
      </c>
      <c r="AA443">
        <v>688</v>
      </c>
      <c r="AB443" t="s">
        <v>31</v>
      </c>
    </row>
    <row r="444" spans="1:28">
      <c r="A444" t="str">
        <f>"600546"</f>
        <v>600546</v>
      </c>
      <c r="B444" t="s">
        <v>600</v>
      </c>
      <c r="C444">
        <v>1.69</v>
      </c>
      <c r="D444">
        <v>5.43</v>
      </c>
      <c r="E444">
        <v>0.09</v>
      </c>
      <c r="F444">
        <v>5.43</v>
      </c>
      <c r="G444">
        <v>5.44</v>
      </c>
      <c r="H444">
        <v>112803</v>
      </c>
      <c r="I444">
        <v>12</v>
      </c>
      <c r="J444">
        <v>0.36</v>
      </c>
      <c r="K444">
        <v>0.56999999999999995</v>
      </c>
      <c r="L444">
        <v>5.34</v>
      </c>
      <c r="M444">
        <v>5.43</v>
      </c>
      <c r="N444">
        <v>5.3</v>
      </c>
      <c r="O444">
        <v>5.34</v>
      </c>
      <c r="P444">
        <v>23.98</v>
      </c>
      <c r="Q444">
        <v>60666852</v>
      </c>
      <c r="R444">
        <v>0.62</v>
      </c>
      <c r="S444" t="s">
        <v>208</v>
      </c>
      <c r="T444" t="s">
        <v>212</v>
      </c>
      <c r="U444">
        <v>2.4300000000000002</v>
      </c>
      <c r="V444">
        <v>5.38</v>
      </c>
      <c r="W444">
        <v>51955</v>
      </c>
      <c r="X444">
        <v>60848</v>
      </c>
      <c r="Y444">
        <v>0.85</v>
      </c>
      <c r="Z444">
        <v>820</v>
      </c>
      <c r="AA444">
        <v>1029</v>
      </c>
      <c r="AB444" t="s">
        <v>31</v>
      </c>
    </row>
    <row r="445" spans="1:28">
      <c r="A445" t="str">
        <f>"600547"</f>
        <v>600547</v>
      </c>
      <c r="B445" t="s">
        <v>601</v>
      </c>
      <c r="C445">
        <v>0.05</v>
      </c>
      <c r="D445">
        <v>20.99</v>
      </c>
      <c r="E445">
        <v>0.01</v>
      </c>
      <c r="F445">
        <v>20.99</v>
      </c>
      <c r="G445">
        <v>21</v>
      </c>
      <c r="H445">
        <v>71686</v>
      </c>
      <c r="I445">
        <v>7</v>
      </c>
      <c r="J445">
        <v>0</v>
      </c>
      <c r="K445">
        <v>0.5</v>
      </c>
      <c r="L445">
        <v>20.8</v>
      </c>
      <c r="M445">
        <v>21.02</v>
      </c>
      <c r="N445">
        <v>20.65</v>
      </c>
      <c r="O445">
        <v>20.98</v>
      </c>
      <c r="P445">
        <v>15.44</v>
      </c>
      <c r="Q445">
        <v>149412560</v>
      </c>
      <c r="R445">
        <v>0.79</v>
      </c>
      <c r="S445" t="s">
        <v>405</v>
      </c>
      <c r="T445" t="s">
        <v>57</v>
      </c>
      <c r="U445">
        <v>1.76</v>
      </c>
      <c r="V445">
        <v>20.84</v>
      </c>
      <c r="W445">
        <v>35690</v>
      </c>
      <c r="X445">
        <v>35996</v>
      </c>
      <c r="Y445">
        <v>0.99</v>
      </c>
      <c r="Z445">
        <v>96</v>
      </c>
      <c r="AA445">
        <v>25</v>
      </c>
      <c r="AB445" t="s">
        <v>31</v>
      </c>
    </row>
    <row r="446" spans="1:28">
      <c r="A446" t="str">
        <f>"600548"</f>
        <v>600548</v>
      </c>
      <c r="B446" t="s">
        <v>602</v>
      </c>
      <c r="C446">
        <v>1.1499999999999999</v>
      </c>
      <c r="D446">
        <v>3.53</v>
      </c>
      <c r="E446">
        <v>0.04</v>
      </c>
      <c r="F446">
        <v>3.52</v>
      </c>
      <c r="G446">
        <v>3.53</v>
      </c>
      <c r="H446">
        <v>17956</v>
      </c>
      <c r="I446">
        <v>58</v>
      </c>
      <c r="J446">
        <v>0.28000000000000003</v>
      </c>
      <c r="K446">
        <v>0.13</v>
      </c>
      <c r="L446">
        <v>3.49</v>
      </c>
      <c r="M446">
        <v>3.54</v>
      </c>
      <c r="N446">
        <v>3.45</v>
      </c>
      <c r="O446">
        <v>3.49</v>
      </c>
      <c r="P446">
        <v>9.98</v>
      </c>
      <c r="Q446">
        <v>6299425</v>
      </c>
      <c r="R446">
        <v>0.72</v>
      </c>
      <c r="S446" t="s">
        <v>51</v>
      </c>
      <c r="T446" t="s">
        <v>73</v>
      </c>
      <c r="U446">
        <v>2.58</v>
      </c>
      <c r="V446">
        <v>3.51</v>
      </c>
      <c r="W446">
        <v>10756</v>
      </c>
      <c r="X446">
        <v>7200</v>
      </c>
      <c r="Y446">
        <v>1.49</v>
      </c>
      <c r="Z446">
        <v>21</v>
      </c>
      <c r="AA446">
        <v>138</v>
      </c>
      <c r="AB446" t="s">
        <v>31</v>
      </c>
    </row>
    <row r="447" spans="1:28">
      <c r="A447" t="str">
        <f>"600549"</f>
        <v>600549</v>
      </c>
      <c r="B447" t="s">
        <v>603</v>
      </c>
      <c r="C447">
        <v>0.14000000000000001</v>
      </c>
      <c r="D447">
        <v>27.74</v>
      </c>
      <c r="E447">
        <v>0.04</v>
      </c>
      <c r="F447">
        <v>27.73</v>
      </c>
      <c r="G447">
        <v>27.75</v>
      </c>
      <c r="H447">
        <v>22786</v>
      </c>
      <c r="I447">
        <v>33</v>
      </c>
      <c r="J447">
        <v>0.03</v>
      </c>
      <c r="K447">
        <v>0.33</v>
      </c>
      <c r="L447">
        <v>27.7</v>
      </c>
      <c r="M447">
        <v>27.92</v>
      </c>
      <c r="N447">
        <v>27.4</v>
      </c>
      <c r="O447">
        <v>27.7</v>
      </c>
      <c r="P447">
        <v>72.7</v>
      </c>
      <c r="Q447">
        <v>63197048</v>
      </c>
      <c r="R447">
        <v>0.55000000000000004</v>
      </c>
      <c r="S447" t="s">
        <v>193</v>
      </c>
      <c r="T447" t="s">
        <v>78</v>
      </c>
      <c r="U447">
        <v>1.88</v>
      </c>
      <c r="V447">
        <v>27.73</v>
      </c>
      <c r="W447">
        <v>13257</v>
      </c>
      <c r="X447">
        <v>9529</v>
      </c>
      <c r="Y447">
        <v>1.39</v>
      </c>
      <c r="Z447">
        <v>84</v>
      </c>
      <c r="AA447">
        <v>8</v>
      </c>
      <c r="AB447" t="s">
        <v>31</v>
      </c>
    </row>
    <row r="448" spans="1:28">
      <c r="A448" t="str">
        <f>"600550"</f>
        <v>600550</v>
      </c>
      <c r="B448" t="s">
        <v>604</v>
      </c>
      <c r="C448">
        <v>0.74</v>
      </c>
      <c r="D448">
        <v>5.46</v>
      </c>
      <c r="E448">
        <v>0.04</v>
      </c>
      <c r="F448">
        <v>5.46</v>
      </c>
      <c r="G448">
        <v>5.47</v>
      </c>
      <c r="H448">
        <v>61617</v>
      </c>
      <c r="I448">
        <v>67</v>
      </c>
      <c r="J448">
        <v>0</v>
      </c>
      <c r="K448">
        <v>0.45</v>
      </c>
      <c r="L448">
        <v>5.43</v>
      </c>
      <c r="M448">
        <v>5.48</v>
      </c>
      <c r="N448">
        <v>5.38</v>
      </c>
      <c r="O448">
        <v>5.42</v>
      </c>
      <c r="P448" t="s">
        <v>31</v>
      </c>
      <c r="Q448">
        <v>33489104</v>
      </c>
      <c r="R448">
        <v>0.66</v>
      </c>
      <c r="S448" t="s">
        <v>161</v>
      </c>
      <c r="T448" t="s">
        <v>224</v>
      </c>
      <c r="U448">
        <v>1.85</v>
      </c>
      <c r="V448">
        <v>5.44</v>
      </c>
      <c r="W448">
        <v>36935</v>
      </c>
      <c r="X448">
        <v>24682</v>
      </c>
      <c r="Y448">
        <v>1.5</v>
      </c>
      <c r="Z448">
        <v>285</v>
      </c>
      <c r="AA448">
        <v>628</v>
      </c>
      <c r="AB448" t="s">
        <v>31</v>
      </c>
    </row>
    <row r="449" spans="1:28">
      <c r="A449" t="str">
        <f>"600551"</f>
        <v>600551</v>
      </c>
      <c r="B449" t="s">
        <v>605</v>
      </c>
      <c r="C449">
        <v>0.9</v>
      </c>
      <c r="D449">
        <v>12.32</v>
      </c>
      <c r="E449">
        <v>0.11</v>
      </c>
      <c r="F449">
        <v>12.34</v>
      </c>
      <c r="G449">
        <v>12.35</v>
      </c>
      <c r="H449">
        <v>58845</v>
      </c>
      <c r="I449">
        <v>3</v>
      </c>
      <c r="J449">
        <v>0.4</v>
      </c>
      <c r="K449">
        <v>1.1599999999999999</v>
      </c>
      <c r="L449">
        <v>12.18</v>
      </c>
      <c r="M449">
        <v>12.6</v>
      </c>
      <c r="N449">
        <v>12.06</v>
      </c>
      <c r="O449">
        <v>12.21</v>
      </c>
      <c r="P449">
        <v>16.48</v>
      </c>
      <c r="Q449">
        <v>72448016</v>
      </c>
      <c r="R449">
        <v>0.96</v>
      </c>
      <c r="S449" t="s">
        <v>466</v>
      </c>
      <c r="T449" t="s">
        <v>52</v>
      </c>
      <c r="U449">
        <v>4.42</v>
      </c>
      <c r="V449">
        <v>12.31</v>
      </c>
      <c r="W449">
        <v>31223</v>
      </c>
      <c r="X449">
        <v>27622</v>
      </c>
      <c r="Y449">
        <v>1.1299999999999999</v>
      </c>
      <c r="Z449">
        <v>49</v>
      </c>
      <c r="AA449">
        <v>135</v>
      </c>
      <c r="AB449" t="s">
        <v>31</v>
      </c>
    </row>
    <row r="450" spans="1:28">
      <c r="A450" t="str">
        <f>"600552"</f>
        <v>600552</v>
      </c>
      <c r="B450" t="s">
        <v>606</v>
      </c>
      <c r="C450">
        <v>-0.23</v>
      </c>
      <c r="D450">
        <v>16.989999999999998</v>
      </c>
      <c r="E450">
        <v>-0.04</v>
      </c>
      <c r="F450">
        <v>16.95</v>
      </c>
      <c r="G450">
        <v>17</v>
      </c>
      <c r="H450">
        <v>9683</v>
      </c>
      <c r="I450">
        <v>91</v>
      </c>
      <c r="J450">
        <v>1.19</v>
      </c>
      <c r="K450">
        <v>0.55000000000000004</v>
      </c>
      <c r="L450">
        <v>16.8</v>
      </c>
      <c r="M450">
        <v>17.07</v>
      </c>
      <c r="N450">
        <v>16.63</v>
      </c>
      <c r="O450">
        <v>17.03</v>
      </c>
      <c r="P450">
        <v>30.75</v>
      </c>
      <c r="Q450">
        <v>16306457</v>
      </c>
      <c r="R450">
        <v>1.19</v>
      </c>
      <c r="S450" t="s">
        <v>268</v>
      </c>
      <c r="T450" t="s">
        <v>52</v>
      </c>
      <c r="U450">
        <v>2.58</v>
      </c>
      <c r="V450">
        <v>16.84</v>
      </c>
      <c r="W450">
        <v>4638</v>
      </c>
      <c r="X450">
        <v>5045</v>
      </c>
      <c r="Y450">
        <v>0.92</v>
      </c>
      <c r="Z450">
        <v>1</v>
      </c>
      <c r="AA450">
        <v>9</v>
      </c>
      <c r="AB450" t="s">
        <v>31</v>
      </c>
    </row>
    <row r="451" spans="1:28">
      <c r="A451" t="str">
        <f>"600555"</f>
        <v>600555</v>
      </c>
      <c r="B451" t="s">
        <v>607</v>
      </c>
      <c r="C451">
        <v>-2.59</v>
      </c>
      <c r="D451">
        <v>3.39</v>
      </c>
      <c r="E451">
        <v>-0.09</v>
      </c>
      <c r="F451">
        <v>3.39</v>
      </c>
      <c r="G451">
        <v>3.4</v>
      </c>
      <c r="H451">
        <v>68459</v>
      </c>
      <c r="I451">
        <v>100</v>
      </c>
      <c r="J451">
        <v>0.28999999999999998</v>
      </c>
      <c r="K451">
        <v>0.7</v>
      </c>
      <c r="L451">
        <v>3.42</v>
      </c>
      <c r="M451">
        <v>3.47</v>
      </c>
      <c r="N451">
        <v>3.31</v>
      </c>
      <c r="O451">
        <v>3.48</v>
      </c>
      <c r="P451" t="s">
        <v>31</v>
      </c>
      <c r="Q451">
        <v>23011960</v>
      </c>
      <c r="R451">
        <v>0.9</v>
      </c>
      <c r="S451" t="s">
        <v>101</v>
      </c>
      <c r="T451" t="s">
        <v>30</v>
      </c>
      <c r="U451">
        <v>4.5999999999999996</v>
      </c>
      <c r="V451">
        <v>3.36</v>
      </c>
      <c r="W451">
        <v>40584</v>
      </c>
      <c r="X451">
        <v>27875</v>
      </c>
      <c r="Y451">
        <v>1.46</v>
      </c>
      <c r="Z451">
        <v>71</v>
      </c>
      <c r="AA451">
        <v>450</v>
      </c>
      <c r="AB451" t="s">
        <v>31</v>
      </c>
    </row>
    <row r="452" spans="1:28">
      <c r="A452" t="str">
        <f>"600556"</f>
        <v>600556</v>
      </c>
      <c r="B452" t="s">
        <v>608</v>
      </c>
      <c r="C452">
        <v>1.37</v>
      </c>
      <c r="D452">
        <v>3.69</v>
      </c>
      <c r="E452">
        <v>0.05</v>
      </c>
      <c r="F452">
        <v>3.68</v>
      </c>
      <c r="G452">
        <v>3.69</v>
      </c>
      <c r="H452">
        <v>23871</v>
      </c>
      <c r="I452">
        <v>74</v>
      </c>
      <c r="J452">
        <v>0</v>
      </c>
      <c r="K452">
        <v>0.92</v>
      </c>
      <c r="L452">
        <v>3.63</v>
      </c>
      <c r="M452">
        <v>3.7</v>
      </c>
      <c r="N452">
        <v>3.6</v>
      </c>
      <c r="O452">
        <v>3.64</v>
      </c>
      <c r="P452" t="s">
        <v>31</v>
      </c>
      <c r="Q452">
        <v>8737461</v>
      </c>
      <c r="R452">
        <v>0.69</v>
      </c>
      <c r="S452" t="s">
        <v>145</v>
      </c>
      <c r="T452" t="s">
        <v>333</v>
      </c>
      <c r="U452">
        <v>2.75</v>
      </c>
      <c r="V452">
        <v>3.66</v>
      </c>
      <c r="W452">
        <v>8977</v>
      </c>
      <c r="X452">
        <v>14894</v>
      </c>
      <c r="Y452">
        <v>0.6</v>
      </c>
      <c r="Z452">
        <v>503</v>
      </c>
      <c r="AA452">
        <v>539</v>
      </c>
      <c r="AB452" t="s">
        <v>31</v>
      </c>
    </row>
    <row r="453" spans="1:28">
      <c r="A453" t="str">
        <f>"600557"</f>
        <v>600557</v>
      </c>
      <c r="B453" t="s">
        <v>609</v>
      </c>
      <c r="C453">
        <v>5.87</v>
      </c>
      <c r="D453">
        <v>29.22</v>
      </c>
      <c r="E453">
        <v>1.62</v>
      </c>
      <c r="F453">
        <v>29.2</v>
      </c>
      <c r="G453">
        <v>29.23</v>
      </c>
      <c r="H453">
        <v>93886</v>
      </c>
      <c r="I453">
        <v>30</v>
      </c>
      <c r="J453">
        <v>0.06</v>
      </c>
      <c r="K453">
        <v>3.06</v>
      </c>
      <c r="L453">
        <v>27.59</v>
      </c>
      <c r="M453">
        <v>29.31</v>
      </c>
      <c r="N453">
        <v>27.59</v>
      </c>
      <c r="O453">
        <v>27.6</v>
      </c>
      <c r="P453">
        <v>40.82</v>
      </c>
      <c r="Q453">
        <v>271320832</v>
      </c>
      <c r="R453">
        <v>3.46</v>
      </c>
      <c r="S453" t="s">
        <v>156</v>
      </c>
      <c r="T453" t="s">
        <v>120</v>
      </c>
      <c r="U453">
        <v>6.23</v>
      </c>
      <c r="V453">
        <v>28.9</v>
      </c>
      <c r="W453">
        <v>41365</v>
      </c>
      <c r="X453">
        <v>52521</v>
      </c>
      <c r="Y453">
        <v>0.79</v>
      </c>
      <c r="Z453">
        <v>7</v>
      </c>
      <c r="AA453">
        <v>57</v>
      </c>
      <c r="AB453" t="s">
        <v>31</v>
      </c>
    </row>
    <row r="454" spans="1:28">
      <c r="A454" t="str">
        <f>"600558"</f>
        <v>600558</v>
      </c>
      <c r="B454" t="s">
        <v>610</v>
      </c>
      <c r="C454">
        <v>1.24</v>
      </c>
      <c r="D454">
        <v>6.51</v>
      </c>
      <c r="E454">
        <v>0.08</v>
      </c>
      <c r="F454">
        <v>6.5</v>
      </c>
      <c r="G454">
        <v>6.51</v>
      </c>
      <c r="H454">
        <v>16169</v>
      </c>
      <c r="I454">
        <v>3</v>
      </c>
      <c r="J454">
        <v>0.15</v>
      </c>
      <c r="K454">
        <v>0.78</v>
      </c>
      <c r="L454">
        <v>6.46</v>
      </c>
      <c r="M454">
        <v>6.66</v>
      </c>
      <c r="N454">
        <v>6.44</v>
      </c>
      <c r="O454">
        <v>6.43</v>
      </c>
      <c r="P454">
        <v>42.62</v>
      </c>
      <c r="Q454">
        <v>10529297</v>
      </c>
      <c r="R454">
        <v>0.51</v>
      </c>
      <c r="S454" t="s">
        <v>254</v>
      </c>
      <c r="T454" t="s">
        <v>88</v>
      </c>
      <c r="U454">
        <v>3.42</v>
      </c>
      <c r="V454">
        <v>6.51</v>
      </c>
      <c r="W454">
        <v>8409</v>
      </c>
      <c r="X454">
        <v>7760</v>
      </c>
      <c r="Y454">
        <v>1.08</v>
      </c>
      <c r="Z454">
        <v>58</v>
      </c>
      <c r="AA454">
        <v>125</v>
      </c>
      <c r="AB454" t="s">
        <v>31</v>
      </c>
    </row>
    <row r="455" spans="1:28">
      <c r="A455" t="str">
        <f>"600559"</f>
        <v>600559</v>
      </c>
      <c r="B455" t="s">
        <v>611</v>
      </c>
      <c r="C455">
        <v>1.0900000000000001</v>
      </c>
      <c r="D455">
        <v>22.21</v>
      </c>
      <c r="E455">
        <v>0.24</v>
      </c>
      <c r="F455">
        <v>22.25</v>
      </c>
      <c r="G455">
        <v>22.26</v>
      </c>
      <c r="H455">
        <v>5857</v>
      </c>
      <c r="I455">
        <v>4</v>
      </c>
      <c r="J455">
        <v>0.81</v>
      </c>
      <c r="K455">
        <v>0.42</v>
      </c>
      <c r="L455">
        <v>21.97</v>
      </c>
      <c r="M455">
        <v>22.25</v>
      </c>
      <c r="N455">
        <v>21.68</v>
      </c>
      <c r="O455">
        <v>21.97</v>
      </c>
      <c r="P455">
        <v>55.46</v>
      </c>
      <c r="Q455">
        <v>12819295</v>
      </c>
      <c r="R455">
        <v>0.53</v>
      </c>
      <c r="S455" t="s">
        <v>291</v>
      </c>
      <c r="T455" t="s">
        <v>224</v>
      </c>
      <c r="U455">
        <v>2.59</v>
      </c>
      <c r="V455">
        <v>21.89</v>
      </c>
      <c r="W455">
        <v>2792</v>
      </c>
      <c r="X455">
        <v>3065</v>
      </c>
      <c r="Y455">
        <v>0.91</v>
      </c>
      <c r="Z455">
        <v>12</v>
      </c>
      <c r="AA455">
        <v>20</v>
      </c>
      <c r="AB455" t="s">
        <v>31</v>
      </c>
    </row>
    <row r="456" spans="1:28">
      <c r="A456" t="str">
        <f>"600560"</f>
        <v>600560</v>
      </c>
      <c r="B456" t="s">
        <v>612</v>
      </c>
      <c r="C456">
        <v>1.6</v>
      </c>
      <c r="D456">
        <v>7.61</v>
      </c>
      <c r="E456">
        <v>0.12</v>
      </c>
      <c r="F456">
        <v>7.6</v>
      </c>
      <c r="G456">
        <v>7.61</v>
      </c>
      <c r="H456">
        <v>12531</v>
      </c>
      <c r="I456">
        <v>10</v>
      </c>
      <c r="J456">
        <v>0.13</v>
      </c>
      <c r="K456">
        <v>0.56000000000000005</v>
      </c>
      <c r="L456">
        <v>7.45</v>
      </c>
      <c r="M456">
        <v>7.62</v>
      </c>
      <c r="N456">
        <v>7.45</v>
      </c>
      <c r="O456">
        <v>7.49</v>
      </c>
      <c r="P456">
        <v>23.64</v>
      </c>
      <c r="Q456">
        <v>9443554</v>
      </c>
      <c r="R456">
        <v>0.45</v>
      </c>
      <c r="S456" t="s">
        <v>161</v>
      </c>
      <c r="T456" t="s">
        <v>42</v>
      </c>
      <c r="U456">
        <v>2.27</v>
      </c>
      <c r="V456">
        <v>7.54</v>
      </c>
      <c r="W456">
        <v>6693</v>
      </c>
      <c r="X456">
        <v>5838</v>
      </c>
      <c r="Y456">
        <v>1.1499999999999999</v>
      </c>
      <c r="Z456">
        <v>500</v>
      </c>
      <c r="AA456">
        <v>33</v>
      </c>
      <c r="AB456" t="s">
        <v>31</v>
      </c>
    </row>
    <row r="457" spans="1:28">
      <c r="A457" t="str">
        <f>"600561"</f>
        <v>600561</v>
      </c>
      <c r="B457" t="s">
        <v>613</v>
      </c>
      <c r="C457">
        <v>0.18</v>
      </c>
      <c r="D457">
        <v>11.11</v>
      </c>
      <c r="E457">
        <v>0.02</v>
      </c>
      <c r="F457">
        <v>11.11</v>
      </c>
      <c r="G457">
        <v>11.13</v>
      </c>
      <c r="H457">
        <v>4774</v>
      </c>
      <c r="I457">
        <v>4</v>
      </c>
      <c r="J457">
        <v>0</v>
      </c>
      <c r="K457">
        <v>0.26</v>
      </c>
      <c r="L457">
        <v>11.19</v>
      </c>
      <c r="M457">
        <v>11.19</v>
      </c>
      <c r="N457">
        <v>11</v>
      </c>
      <c r="O457">
        <v>11.09</v>
      </c>
      <c r="P457">
        <v>17.86</v>
      </c>
      <c r="Q457">
        <v>5288981</v>
      </c>
      <c r="R457">
        <v>0.56999999999999995</v>
      </c>
      <c r="S457" t="s">
        <v>614</v>
      </c>
      <c r="T457" t="s">
        <v>99</v>
      </c>
      <c r="U457">
        <v>1.71</v>
      </c>
      <c r="V457">
        <v>11.08</v>
      </c>
      <c r="W457">
        <v>2537</v>
      </c>
      <c r="X457">
        <v>2237</v>
      </c>
      <c r="Y457">
        <v>1.1299999999999999</v>
      </c>
      <c r="Z457">
        <v>2</v>
      </c>
      <c r="AA457">
        <v>70</v>
      </c>
      <c r="AB457" t="s">
        <v>31</v>
      </c>
    </row>
    <row r="458" spans="1:28">
      <c r="A458" t="str">
        <f>"600562"</f>
        <v>600562</v>
      </c>
      <c r="B458" t="s">
        <v>615</v>
      </c>
      <c r="C458">
        <v>2.1</v>
      </c>
      <c r="D458">
        <v>37.869999999999997</v>
      </c>
      <c r="E458">
        <v>0.78</v>
      </c>
      <c r="F458">
        <v>37.880000000000003</v>
      </c>
      <c r="G458">
        <v>37.89</v>
      </c>
      <c r="H458">
        <v>2095</v>
      </c>
      <c r="I458">
        <v>3</v>
      </c>
      <c r="J458">
        <v>0.18</v>
      </c>
      <c r="K458">
        <v>0.32</v>
      </c>
      <c r="L458">
        <v>37.28</v>
      </c>
      <c r="M458">
        <v>38</v>
      </c>
      <c r="N458">
        <v>37</v>
      </c>
      <c r="O458">
        <v>37.090000000000003</v>
      </c>
      <c r="P458">
        <v>142.27000000000001</v>
      </c>
      <c r="Q458">
        <v>7858447</v>
      </c>
      <c r="R458">
        <v>0.44</v>
      </c>
      <c r="S458" t="s">
        <v>140</v>
      </c>
      <c r="T458" t="s">
        <v>120</v>
      </c>
      <c r="U458">
        <v>2.7</v>
      </c>
      <c r="V458">
        <v>37.51</v>
      </c>
      <c r="W458">
        <v>757</v>
      </c>
      <c r="X458">
        <v>1338</v>
      </c>
      <c r="Y458">
        <v>0.56999999999999995</v>
      </c>
      <c r="Z458">
        <v>23</v>
      </c>
      <c r="AA458">
        <v>0</v>
      </c>
      <c r="AB458" t="s">
        <v>31</v>
      </c>
    </row>
    <row r="459" spans="1:28">
      <c r="A459" t="str">
        <f>"600563"</f>
        <v>600563</v>
      </c>
      <c r="B459" t="s">
        <v>616</v>
      </c>
      <c r="C459">
        <v>2.36</v>
      </c>
      <c r="D459">
        <v>17.809999999999999</v>
      </c>
      <c r="E459">
        <v>0.41</v>
      </c>
      <c r="F459">
        <v>17.8</v>
      </c>
      <c r="G459">
        <v>17.82</v>
      </c>
      <c r="H459">
        <v>11381</v>
      </c>
      <c r="I459">
        <v>25</v>
      </c>
      <c r="J459">
        <v>0.11</v>
      </c>
      <c r="K459">
        <v>0.51</v>
      </c>
      <c r="L459">
        <v>17.309999999999999</v>
      </c>
      <c r="M459">
        <v>17.82</v>
      </c>
      <c r="N459">
        <v>17.309999999999999</v>
      </c>
      <c r="O459">
        <v>17.399999999999999</v>
      </c>
      <c r="P459">
        <v>16</v>
      </c>
      <c r="Q459">
        <v>20155096</v>
      </c>
      <c r="R459">
        <v>0.39</v>
      </c>
      <c r="S459" t="s">
        <v>153</v>
      </c>
      <c r="T459" t="s">
        <v>78</v>
      </c>
      <c r="U459">
        <v>2.93</v>
      </c>
      <c r="V459">
        <v>17.71</v>
      </c>
      <c r="W459">
        <v>4850</v>
      </c>
      <c r="X459">
        <v>6531</v>
      </c>
      <c r="Y459">
        <v>0.74</v>
      </c>
      <c r="Z459">
        <v>19</v>
      </c>
      <c r="AA459">
        <v>46</v>
      </c>
      <c r="AB459" t="s">
        <v>31</v>
      </c>
    </row>
    <row r="460" spans="1:28">
      <c r="A460" t="str">
        <f>"600565"</f>
        <v>600565</v>
      </c>
      <c r="B460" t="s">
        <v>617</v>
      </c>
      <c r="C460">
        <v>1.1200000000000001</v>
      </c>
      <c r="D460">
        <v>3.6</v>
      </c>
      <c r="E460">
        <v>0.04</v>
      </c>
      <c r="F460">
        <v>3.58</v>
      </c>
      <c r="G460">
        <v>3.6</v>
      </c>
      <c r="H460">
        <v>25876</v>
      </c>
      <c r="I460">
        <v>240</v>
      </c>
      <c r="J460">
        <v>0.27</v>
      </c>
      <c r="K460">
        <v>0.36</v>
      </c>
      <c r="L460">
        <v>3.52</v>
      </c>
      <c r="M460">
        <v>3.61</v>
      </c>
      <c r="N460">
        <v>3.52</v>
      </c>
      <c r="O460">
        <v>3.56</v>
      </c>
      <c r="P460">
        <v>62.58</v>
      </c>
      <c r="Q460">
        <v>9255718</v>
      </c>
      <c r="R460">
        <v>0.76</v>
      </c>
      <c r="S460" t="s">
        <v>90</v>
      </c>
      <c r="T460" t="s">
        <v>184</v>
      </c>
      <c r="U460">
        <v>2.5299999999999998</v>
      </c>
      <c r="V460">
        <v>3.58</v>
      </c>
      <c r="W460">
        <v>14228</v>
      </c>
      <c r="X460">
        <v>11648</v>
      </c>
      <c r="Y460">
        <v>1.22</v>
      </c>
      <c r="Z460">
        <v>761</v>
      </c>
      <c r="AA460">
        <v>370</v>
      </c>
      <c r="AB460" t="s">
        <v>31</v>
      </c>
    </row>
    <row r="461" spans="1:28">
      <c r="A461" t="str">
        <f>"600566"</f>
        <v>600566</v>
      </c>
      <c r="B461" t="s">
        <v>618</v>
      </c>
      <c r="C461">
        <v>5</v>
      </c>
      <c r="D461">
        <v>14.28</v>
      </c>
      <c r="E461">
        <v>0.68</v>
      </c>
      <c r="F461">
        <v>14.28</v>
      </c>
      <c r="G461">
        <v>14.29</v>
      </c>
      <c r="H461">
        <v>32510</v>
      </c>
      <c r="I461">
        <v>49</v>
      </c>
      <c r="J461">
        <v>0</v>
      </c>
      <c r="K461">
        <v>2.35</v>
      </c>
      <c r="L461">
        <v>13.75</v>
      </c>
      <c r="M461">
        <v>14.47</v>
      </c>
      <c r="N461">
        <v>13.67</v>
      </c>
      <c r="O461">
        <v>13.6</v>
      </c>
      <c r="P461" t="s">
        <v>31</v>
      </c>
      <c r="Q461">
        <v>45940184</v>
      </c>
      <c r="R461">
        <v>0.74</v>
      </c>
      <c r="S461" t="s">
        <v>198</v>
      </c>
      <c r="T461" t="s">
        <v>37</v>
      </c>
      <c r="U461">
        <v>5.88</v>
      </c>
      <c r="V461">
        <v>14.13</v>
      </c>
      <c r="W461">
        <v>13402</v>
      </c>
      <c r="X461">
        <v>19108</v>
      </c>
      <c r="Y461">
        <v>0.7</v>
      </c>
      <c r="Z461">
        <v>214</v>
      </c>
      <c r="AA461">
        <v>142</v>
      </c>
      <c r="AB461" t="s">
        <v>31</v>
      </c>
    </row>
    <row r="462" spans="1:28">
      <c r="A462" t="str">
        <f>"600567"</f>
        <v>600567</v>
      </c>
      <c r="B462" t="s">
        <v>619</v>
      </c>
      <c r="C462">
        <v>2.2200000000000002</v>
      </c>
      <c r="D462">
        <v>2.2999999999999998</v>
      </c>
      <c r="E462">
        <v>0.05</v>
      </c>
      <c r="F462">
        <v>2.29</v>
      </c>
      <c r="G462">
        <v>2.2999999999999998</v>
      </c>
      <c r="H462">
        <v>204582</v>
      </c>
      <c r="I462">
        <v>34</v>
      </c>
      <c r="J462">
        <v>0.43</v>
      </c>
      <c r="K462">
        <v>1.37</v>
      </c>
      <c r="L462">
        <v>2.25</v>
      </c>
      <c r="M462">
        <v>2.2999999999999998</v>
      </c>
      <c r="N462">
        <v>2.23</v>
      </c>
      <c r="O462">
        <v>2.25</v>
      </c>
      <c r="P462">
        <v>2295.4699999999998</v>
      </c>
      <c r="Q462">
        <v>46499672</v>
      </c>
      <c r="R462">
        <v>0.76</v>
      </c>
      <c r="S462" t="s">
        <v>125</v>
      </c>
      <c r="T462" t="s">
        <v>52</v>
      </c>
      <c r="U462">
        <v>3.11</v>
      </c>
      <c r="V462">
        <v>2.27</v>
      </c>
      <c r="W462">
        <v>79787</v>
      </c>
      <c r="X462">
        <v>124795</v>
      </c>
      <c r="Y462">
        <v>0.64</v>
      </c>
      <c r="Z462">
        <v>8097</v>
      </c>
      <c r="AA462">
        <v>1191</v>
      </c>
      <c r="AB462" t="s">
        <v>31</v>
      </c>
    </row>
    <row r="463" spans="1:28">
      <c r="A463" t="str">
        <f>"600568"</f>
        <v>600568</v>
      </c>
      <c r="B463" t="s">
        <v>620</v>
      </c>
      <c r="C463">
        <v>0.72</v>
      </c>
      <c r="D463">
        <v>8.35</v>
      </c>
      <c r="E463">
        <v>0.06</v>
      </c>
      <c r="F463">
        <v>8.34</v>
      </c>
      <c r="G463">
        <v>8.3699999999999992</v>
      </c>
      <c r="H463">
        <v>23199</v>
      </c>
      <c r="I463">
        <v>50</v>
      </c>
      <c r="J463">
        <v>-0.35</v>
      </c>
      <c r="K463">
        <v>1.23</v>
      </c>
      <c r="L463">
        <v>8.32</v>
      </c>
      <c r="M463">
        <v>8.44</v>
      </c>
      <c r="N463">
        <v>8.27</v>
      </c>
      <c r="O463">
        <v>8.2899999999999991</v>
      </c>
      <c r="P463">
        <v>33.86</v>
      </c>
      <c r="Q463">
        <v>19400384</v>
      </c>
      <c r="R463">
        <v>0.39</v>
      </c>
      <c r="S463" t="s">
        <v>97</v>
      </c>
      <c r="T463" t="s">
        <v>37</v>
      </c>
      <c r="U463">
        <v>2.0499999999999998</v>
      </c>
      <c r="V463">
        <v>8.36</v>
      </c>
      <c r="W463">
        <v>14210</v>
      </c>
      <c r="X463">
        <v>8989</v>
      </c>
      <c r="Y463">
        <v>1.58</v>
      </c>
      <c r="Z463">
        <v>62</v>
      </c>
      <c r="AA463">
        <v>160</v>
      </c>
      <c r="AB463" t="s">
        <v>31</v>
      </c>
    </row>
    <row r="464" spans="1:28">
      <c r="A464" t="str">
        <f>"600569"</f>
        <v>600569</v>
      </c>
      <c r="B464" t="s">
        <v>621</v>
      </c>
      <c r="C464">
        <v>2.37</v>
      </c>
      <c r="D464">
        <v>1.73</v>
      </c>
      <c r="E464">
        <v>0.04</v>
      </c>
      <c r="F464">
        <v>1.72</v>
      </c>
      <c r="G464">
        <v>1.73</v>
      </c>
      <c r="H464">
        <v>55340</v>
      </c>
      <c r="I464">
        <v>1</v>
      </c>
      <c r="J464">
        <v>0.57999999999999996</v>
      </c>
      <c r="K464">
        <v>0.23</v>
      </c>
      <c r="L464">
        <v>1.69</v>
      </c>
      <c r="M464">
        <v>1.73</v>
      </c>
      <c r="N464">
        <v>1.67</v>
      </c>
      <c r="O464">
        <v>1.69</v>
      </c>
      <c r="P464" t="s">
        <v>31</v>
      </c>
      <c r="Q464">
        <v>9432750</v>
      </c>
      <c r="R464">
        <v>1.1200000000000001</v>
      </c>
      <c r="S464" t="s">
        <v>36</v>
      </c>
      <c r="T464" t="s">
        <v>61</v>
      </c>
      <c r="U464">
        <v>3.55</v>
      </c>
      <c r="V464">
        <v>1.7</v>
      </c>
      <c r="W464">
        <v>16883</v>
      </c>
      <c r="X464">
        <v>38457</v>
      </c>
      <c r="Y464">
        <v>0.44</v>
      </c>
      <c r="Z464">
        <v>2865</v>
      </c>
      <c r="AA464">
        <v>2423</v>
      </c>
      <c r="AB464" t="s">
        <v>31</v>
      </c>
    </row>
    <row r="465" spans="1:28">
      <c r="A465" t="str">
        <f>"600570"</f>
        <v>600570</v>
      </c>
      <c r="B465" t="s">
        <v>622</v>
      </c>
      <c r="C465">
        <v>0.72</v>
      </c>
      <c r="D465">
        <v>19.71</v>
      </c>
      <c r="E465">
        <v>0.14000000000000001</v>
      </c>
      <c r="F465">
        <v>19.7</v>
      </c>
      <c r="G465">
        <v>19.73</v>
      </c>
      <c r="H465">
        <v>18945</v>
      </c>
      <c r="I465">
        <v>13</v>
      </c>
      <c r="J465">
        <v>0</v>
      </c>
      <c r="K465">
        <v>0.31</v>
      </c>
      <c r="L465">
        <v>19.420000000000002</v>
      </c>
      <c r="M465">
        <v>19.77</v>
      </c>
      <c r="N465">
        <v>19.3</v>
      </c>
      <c r="O465">
        <v>19.57</v>
      </c>
      <c r="P465">
        <v>69.47</v>
      </c>
      <c r="Q465">
        <v>37073168</v>
      </c>
      <c r="R465">
        <v>0.35</v>
      </c>
      <c r="S465" t="s">
        <v>383</v>
      </c>
      <c r="T465" t="s">
        <v>95</v>
      </c>
      <c r="U465">
        <v>2.4</v>
      </c>
      <c r="V465">
        <v>19.57</v>
      </c>
      <c r="W465">
        <v>7867</v>
      </c>
      <c r="X465">
        <v>11078</v>
      </c>
      <c r="Y465">
        <v>0.71</v>
      </c>
      <c r="Z465">
        <v>36</v>
      </c>
      <c r="AA465">
        <v>54</v>
      </c>
      <c r="AB465" t="s">
        <v>31</v>
      </c>
    </row>
    <row r="466" spans="1:28">
      <c r="A466" t="str">
        <f>"600571"</f>
        <v>600571</v>
      </c>
      <c r="B466" t="s">
        <v>623</v>
      </c>
      <c r="C466">
        <v>3.82</v>
      </c>
      <c r="D466">
        <v>13.04</v>
      </c>
      <c r="E466">
        <v>0.48</v>
      </c>
      <c r="F466">
        <v>13.04</v>
      </c>
      <c r="G466">
        <v>13.06</v>
      </c>
      <c r="H466">
        <v>26522</v>
      </c>
      <c r="I466">
        <v>45</v>
      </c>
      <c r="J466">
        <v>0</v>
      </c>
      <c r="K466">
        <v>1.34</v>
      </c>
      <c r="L466">
        <v>12.57</v>
      </c>
      <c r="M466">
        <v>13.09</v>
      </c>
      <c r="N466">
        <v>12.57</v>
      </c>
      <c r="O466">
        <v>12.56</v>
      </c>
      <c r="P466">
        <v>43.11</v>
      </c>
      <c r="Q466">
        <v>34008512</v>
      </c>
      <c r="R466">
        <v>0.67</v>
      </c>
      <c r="S466" t="s">
        <v>383</v>
      </c>
      <c r="T466" t="s">
        <v>95</v>
      </c>
      <c r="U466">
        <v>4.1399999999999997</v>
      </c>
      <c r="V466">
        <v>12.82</v>
      </c>
      <c r="W466">
        <v>13209</v>
      </c>
      <c r="X466">
        <v>13313</v>
      </c>
      <c r="Y466">
        <v>0.99</v>
      </c>
      <c r="Z466">
        <v>285</v>
      </c>
      <c r="AA466">
        <v>759</v>
      </c>
      <c r="AB466" t="s">
        <v>31</v>
      </c>
    </row>
    <row r="467" spans="1:28">
      <c r="A467" t="str">
        <f>"600572"</f>
        <v>600572</v>
      </c>
      <c r="B467" t="s">
        <v>624</v>
      </c>
      <c r="C467">
        <v>2.12</v>
      </c>
      <c r="D467">
        <v>13.49</v>
      </c>
      <c r="E467">
        <v>0.28000000000000003</v>
      </c>
      <c r="F467">
        <v>13.49</v>
      </c>
      <c r="G467">
        <v>13.5</v>
      </c>
      <c r="H467">
        <v>43445</v>
      </c>
      <c r="I467">
        <v>4</v>
      </c>
      <c r="J467">
        <v>0</v>
      </c>
      <c r="K467">
        <v>0.62</v>
      </c>
      <c r="L467">
        <v>13.2</v>
      </c>
      <c r="M467">
        <v>13.53</v>
      </c>
      <c r="N467">
        <v>13.18</v>
      </c>
      <c r="O467">
        <v>13.21</v>
      </c>
      <c r="P467">
        <v>26.45</v>
      </c>
      <c r="Q467">
        <v>58335864</v>
      </c>
      <c r="R467">
        <v>0.48</v>
      </c>
      <c r="S467" t="s">
        <v>156</v>
      </c>
      <c r="T467" t="s">
        <v>95</v>
      </c>
      <c r="U467">
        <v>2.65</v>
      </c>
      <c r="V467">
        <v>13.43</v>
      </c>
      <c r="W467">
        <v>17590</v>
      </c>
      <c r="X467">
        <v>25855</v>
      </c>
      <c r="Y467">
        <v>0.68</v>
      </c>
      <c r="Z467">
        <v>101</v>
      </c>
      <c r="AA467">
        <v>159</v>
      </c>
      <c r="AB467" t="s">
        <v>31</v>
      </c>
    </row>
    <row r="468" spans="1:28">
      <c r="A468" t="str">
        <f>"600573"</f>
        <v>600573</v>
      </c>
      <c r="B468" t="s">
        <v>625</v>
      </c>
      <c r="C468">
        <v>1.93</v>
      </c>
      <c r="D468">
        <v>5.82</v>
      </c>
      <c r="E468">
        <v>0.11</v>
      </c>
      <c r="F468">
        <v>5.79</v>
      </c>
      <c r="G468">
        <v>5.82</v>
      </c>
      <c r="H468">
        <v>10417</v>
      </c>
      <c r="I468">
        <v>20</v>
      </c>
      <c r="J468">
        <v>0.51</v>
      </c>
      <c r="K468">
        <v>0.42</v>
      </c>
      <c r="L468">
        <v>5.73</v>
      </c>
      <c r="M468">
        <v>5.83</v>
      </c>
      <c r="N468">
        <v>5.68</v>
      </c>
      <c r="O468">
        <v>5.71</v>
      </c>
      <c r="P468">
        <v>51.47</v>
      </c>
      <c r="Q468">
        <v>5998703</v>
      </c>
      <c r="R468">
        <v>0.92</v>
      </c>
      <c r="S468" t="s">
        <v>163</v>
      </c>
      <c r="T468" t="s">
        <v>78</v>
      </c>
      <c r="U468">
        <v>2.63</v>
      </c>
      <c r="V468">
        <v>5.76</v>
      </c>
      <c r="W468">
        <v>4018</v>
      </c>
      <c r="X468">
        <v>6399</v>
      </c>
      <c r="Y468">
        <v>0.63</v>
      </c>
      <c r="Z468">
        <v>11</v>
      </c>
      <c r="AA468">
        <v>655</v>
      </c>
      <c r="AB468" t="s">
        <v>31</v>
      </c>
    </row>
    <row r="469" spans="1:28">
      <c r="A469" t="str">
        <f>"600575"</f>
        <v>600575</v>
      </c>
      <c r="B469" t="s">
        <v>626</v>
      </c>
      <c r="C469">
        <v>3.98</v>
      </c>
      <c r="D469">
        <v>3.4</v>
      </c>
      <c r="E469">
        <v>0.13</v>
      </c>
      <c r="F469">
        <v>3.4</v>
      </c>
      <c r="G469">
        <v>3.41</v>
      </c>
      <c r="H469">
        <v>97002</v>
      </c>
      <c r="I469">
        <v>20</v>
      </c>
      <c r="J469">
        <v>-0.28999999999999998</v>
      </c>
      <c r="K469">
        <v>0.68</v>
      </c>
      <c r="L469">
        <v>3.27</v>
      </c>
      <c r="M469">
        <v>3.45</v>
      </c>
      <c r="N469">
        <v>3.22</v>
      </c>
      <c r="O469">
        <v>3.27</v>
      </c>
      <c r="P469">
        <v>26.53</v>
      </c>
      <c r="Q469">
        <v>32208948</v>
      </c>
      <c r="R469">
        <v>1.25</v>
      </c>
      <c r="S469" t="s">
        <v>56</v>
      </c>
      <c r="T469" t="s">
        <v>52</v>
      </c>
      <c r="U469">
        <v>7.03</v>
      </c>
      <c r="V469">
        <v>3.32</v>
      </c>
      <c r="W469">
        <v>34584</v>
      </c>
      <c r="X469">
        <v>62418</v>
      </c>
      <c r="Y469">
        <v>0.55000000000000004</v>
      </c>
      <c r="Z469">
        <v>380</v>
      </c>
      <c r="AA469">
        <v>374</v>
      </c>
      <c r="AB469" t="s">
        <v>31</v>
      </c>
    </row>
    <row r="470" spans="1:28">
      <c r="A470" t="str">
        <f>"600576"</f>
        <v>600576</v>
      </c>
      <c r="B470" t="s">
        <v>627</v>
      </c>
      <c r="C470">
        <v>0.68</v>
      </c>
      <c r="D470">
        <v>7.41</v>
      </c>
      <c r="E470">
        <v>0.05</v>
      </c>
      <c r="F470">
        <v>7.42</v>
      </c>
      <c r="G470">
        <v>7.43</v>
      </c>
      <c r="H470">
        <v>12686</v>
      </c>
      <c r="I470">
        <v>24</v>
      </c>
      <c r="J470">
        <v>-0.53</v>
      </c>
      <c r="K470">
        <v>0.57999999999999996</v>
      </c>
      <c r="L470">
        <v>7.43</v>
      </c>
      <c r="M470">
        <v>7.48</v>
      </c>
      <c r="N470">
        <v>7.25</v>
      </c>
      <c r="O470">
        <v>7.36</v>
      </c>
      <c r="P470" t="s">
        <v>31</v>
      </c>
      <c r="Q470">
        <v>9361350</v>
      </c>
      <c r="R470">
        <v>0.72</v>
      </c>
      <c r="S470" t="s">
        <v>94</v>
      </c>
      <c r="T470" t="s">
        <v>95</v>
      </c>
      <c r="U470">
        <v>3.13</v>
      </c>
      <c r="V470">
        <v>7.38</v>
      </c>
      <c r="W470">
        <v>5739</v>
      </c>
      <c r="X470">
        <v>6947</v>
      </c>
      <c r="Y470">
        <v>0.83</v>
      </c>
      <c r="Z470">
        <v>2</v>
      </c>
      <c r="AA470">
        <v>20</v>
      </c>
      <c r="AB470" t="s">
        <v>31</v>
      </c>
    </row>
    <row r="471" spans="1:28">
      <c r="A471" t="str">
        <f>"600577"</f>
        <v>600577</v>
      </c>
      <c r="B471" t="s">
        <v>628</v>
      </c>
      <c r="C471">
        <v>3.65</v>
      </c>
      <c r="D471">
        <v>4.26</v>
      </c>
      <c r="E471">
        <v>0.15</v>
      </c>
      <c r="F471">
        <v>4.25</v>
      </c>
      <c r="G471">
        <v>4.26</v>
      </c>
      <c r="H471">
        <v>106629</v>
      </c>
      <c r="I471">
        <v>190</v>
      </c>
      <c r="J471">
        <v>0.23</v>
      </c>
      <c r="K471">
        <v>1.5</v>
      </c>
      <c r="L471">
        <v>4.0999999999999996</v>
      </c>
      <c r="M471">
        <v>4.2699999999999996</v>
      </c>
      <c r="N471">
        <v>4.09</v>
      </c>
      <c r="O471">
        <v>4.1100000000000003</v>
      </c>
      <c r="P471">
        <v>20.420000000000002</v>
      </c>
      <c r="Q471">
        <v>44869068</v>
      </c>
      <c r="R471">
        <v>1.42</v>
      </c>
      <c r="S471" t="s">
        <v>161</v>
      </c>
      <c r="T471" t="s">
        <v>52</v>
      </c>
      <c r="U471">
        <v>4.38</v>
      </c>
      <c r="V471">
        <v>4.21</v>
      </c>
      <c r="W471">
        <v>32948</v>
      </c>
      <c r="X471">
        <v>73681</v>
      </c>
      <c r="Y471">
        <v>0.45</v>
      </c>
      <c r="Z471">
        <v>1061</v>
      </c>
      <c r="AA471">
        <v>135</v>
      </c>
      <c r="AB471" t="s">
        <v>31</v>
      </c>
    </row>
    <row r="472" spans="1:28">
      <c r="A472" t="str">
        <f>"600578"</f>
        <v>600578</v>
      </c>
      <c r="B472" t="s">
        <v>629</v>
      </c>
      <c r="C472">
        <v>6.5</v>
      </c>
      <c r="D472">
        <v>4.26</v>
      </c>
      <c r="E472">
        <v>0.26</v>
      </c>
      <c r="F472">
        <v>4.26</v>
      </c>
      <c r="G472">
        <v>4.2699999999999996</v>
      </c>
      <c r="H472">
        <v>457177</v>
      </c>
      <c r="I472">
        <v>10</v>
      </c>
      <c r="J472">
        <v>0.23</v>
      </c>
      <c r="K472">
        <v>2.98</v>
      </c>
      <c r="L472">
        <v>4.03</v>
      </c>
      <c r="M472">
        <v>4.3899999999999997</v>
      </c>
      <c r="N472">
        <v>4.01</v>
      </c>
      <c r="O472">
        <v>4</v>
      </c>
      <c r="P472">
        <v>8.3800000000000008</v>
      </c>
      <c r="Q472">
        <v>193694992</v>
      </c>
      <c r="R472">
        <v>4.0599999999999996</v>
      </c>
      <c r="S472" t="s">
        <v>49</v>
      </c>
      <c r="T472" t="s">
        <v>42</v>
      </c>
      <c r="U472">
        <v>9.5</v>
      </c>
      <c r="V472">
        <v>4.24</v>
      </c>
      <c r="W472">
        <v>174890</v>
      </c>
      <c r="X472">
        <v>282287</v>
      </c>
      <c r="Y472">
        <v>0.62</v>
      </c>
      <c r="Z472">
        <v>428</v>
      </c>
      <c r="AA472">
        <v>1777</v>
      </c>
      <c r="AB472" t="s">
        <v>31</v>
      </c>
    </row>
    <row r="473" spans="1:28">
      <c r="A473" t="str">
        <f>"600579"</f>
        <v>600579</v>
      </c>
      <c r="B473" t="s">
        <v>630</v>
      </c>
      <c r="C473">
        <v>4.21</v>
      </c>
      <c r="D473">
        <v>6.19</v>
      </c>
      <c r="E473">
        <v>0.25</v>
      </c>
      <c r="F473">
        <v>6.18</v>
      </c>
      <c r="G473">
        <v>6.19</v>
      </c>
      <c r="H473">
        <v>13215</v>
      </c>
      <c r="I473">
        <v>13</v>
      </c>
      <c r="J473">
        <v>1.1399999999999999</v>
      </c>
      <c r="K473">
        <v>0.52</v>
      </c>
      <c r="L473">
        <v>6</v>
      </c>
      <c r="M473">
        <v>6.19</v>
      </c>
      <c r="N473">
        <v>5.9</v>
      </c>
      <c r="O473">
        <v>5.94</v>
      </c>
      <c r="P473" t="s">
        <v>31</v>
      </c>
      <c r="Q473">
        <v>7943413</v>
      </c>
      <c r="R473">
        <v>1.02</v>
      </c>
      <c r="S473" t="s">
        <v>149</v>
      </c>
      <c r="T473" t="s">
        <v>57</v>
      </c>
      <c r="U473">
        <v>4.88</v>
      </c>
      <c r="V473">
        <v>6.01</v>
      </c>
      <c r="W473">
        <v>3221</v>
      </c>
      <c r="X473">
        <v>9994</v>
      </c>
      <c r="Y473">
        <v>0.32</v>
      </c>
      <c r="Z473">
        <v>1</v>
      </c>
      <c r="AA473">
        <v>100</v>
      </c>
      <c r="AB473" t="s">
        <v>31</v>
      </c>
    </row>
    <row r="474" spans="1:28">
      <c r="A474" t="str">
        <f>"600580"</f>
        <v>600580</v>
      </c>
      <c r="B474" t="s">
        <v>631</v>
      </c>
      <c r="C474">
        <v>2.39</v>
      </c>
      <c r="D474">
        <v>6.85</v>
      </c>
      <c r="E474">
        <v>0.16</v>
      </c>
      <c r="F474">
        <v>6.85</v>
      </c>
      <c r="G474">
        <v>6.86</v>
      </c>
      <c r="H474">
        <v>82768</v>
      </c>
      <c r="I474">
        <v>3</v>
      </c>
      <c r="J474">
        <v>0.14000000000000001</v>
      </c>
      <c r="K474">
        <v>1.2</v>
      </c>
      <c r="L474">
        <v>6.74</v>
      </c>
      <c r="M474">
        <v>6.97</v>
      </c>
      <c r="N474">
        <v>6.66</v>
      </c>
      <c r="O474">
        <v>6.69</v>
      </c>
      <c r="P474">
        <v>31.37</v>
      </c>
      <c r="Q474">
        <v>56472692</v>
      </c>
      <c r="R474">
        <v>0.54</v>
      </c>
      <c r="S474" t="s">
        <v>161</v>
      </c>
      <c r="T474" t="s">
        <v>95</v>
      </c>
      <c r="U474">
        <v>4.63</v>
      </c>
      <c r="V474">
        <v>6.82</v>
      </c>
      <c r="W474">
        <v>41444</v>
      </c>
      <c r="X474">
        <v>41324</v>
      </c>
      <c r="Y474">
        <v>1</v>
      </c>
      <c r="Z474">
        <v>100</v>
      </c>
      <c r="AA474">
        <v>101</v>
      </c>
      <c r="AB474" t="s">
        <v>31</v>
      </c>
    </row>
    <row r="475" spans="1:28">
      <c r="A475" t="str">
        <f>"600581"</f>
        <v>600581</v>
      </c>
      <c r="B475" t="s">
        <v>632</v>
      </c>
      <c r="C475">
        <v>2.2400000000000002</v>
      </c>
      <c r="D475">
        <v>4.1100000000000003</v>
      </c>
      <c r="E475">
        <v>0.09</v>
      </c>
      <c r="F475">
        <v>4.0999999999999996</v>
      </c>
      <c r="G475">
        <v>4.1100000000000003</v>
      </c>
      <c r="H475">
        <v>49000</v>
      </c>
      <c r="I475">
        <v>21</v>
      </c>
      <c r="J475">
        <v>0</v>
      </c>
      <c r="K475">
        <v>0.64</v>
      </c>
      <c r="L475">
        <v>4.0199999999999996</v>
      </c>
      <c r="M475">
        <v>4.17</v>
      </c>
      <c r="N475">
        <v>4</v>
      </c>
      <c r="O475">
        <v>4.0199999999999996</v>
      </c>
      <c r="P475">
        <v>21.68</v>
      </c>
      <c r="Q475">
        <v>20021704</v>
      </c>
      <c r="R475">
        <v>1.24</v>
      </c>
      <c r="S475" t="s">
        <v>36</v>
      </c>
      <c r="T475" t="s">
        <v>138</v>
      </c>
      <c r="U475">
        <v>4.2300000000000004</v>
      </c>
      <c r="V475">
        <v>4.09</v>
      </c>
      <c r="W475">
        <v>20061</v>
      </c>
      <c r="X475">
        <v>28939</v>
      </c>
      <c r="Y475">
        <v>0.69</v>
      </c>
      <c r="Z475">
        <v>1173</v>
      </c>
      <c r="AA475">
        <v>137</v>
      </c>
      <c r="AB475" t="s">
        <v>31</v>
      </c>
    </row>
    <row r="476" spans="1:28">
      <c r="A476" t="str">
        <f>"600582"</f>
        <v>600582</v>
      </c>
      <c r="B476" t="s">
        <v>633</v>
      </c>
      <c r="C476">
        <v>1.87</v>
      </c>
      <c r="D476">
        <v>7.1</v>
      </c>
      <c r="E476">
        <v>0.13</v>
      </c>
      <c r="F476">
        <v>7.1</v>
      </c>
      <c r="G476">
        <v>7.11</v>
      </c>
      <c r="H476">
        <v>59100</v>
      </c>
      <c r="I476">
        <v>130</v>
      </c>
      <c r="J476">
        <v>-0.14000000000000001</v>
      </c>
      <c r="K476">
        <v>0.49</v>
      </c>
      <c r="L476">
        <v>6.91</v>
      </c>
      <c r="M476">
        <v>7.15</v>
      </c>
      <c r="N476">
        <v>6.86</v>
      </c>
      <c r="O476">
        <v>6.97</v>
      </c>
      <c r="P476">
        <v>12.51</v>
      </c>
      <c r="Q476">
        <v>41404508</v>
      </c>
      <c r="R476">
        <v>0.79</v>
      </c>
      <c r="S476" t="s">
        <v>75</v>
      </c>
      <c r="T476" t="s">
        <v>42</v>
      </c>
      <c r="U476">
        <v>4.16</v>
      </c>
      <c r="V476">
        <v>7.01</v>
      </c>
      <c r="W476">
        <v>32042</v>
      </c>
      <c r="X476">
        <v>27058</v>
      </c>
      <c r="Y476">
        <v>1.18</v>
      </c>
      <c r="Z476">
        <v>825</v>
      </c>
      <c r="AA476">
        <v>396</v>
      </c>
      <c r="AB476" t="s">
        <v>31</v>
      </c>
    </row>
    <row r="477" spans="1:28">
      <c r="A477" t="str">
        <f>"600583"</f>
        <v>600583</v>
      </c>
      <c r="B477" t="s">
        <v>634</v>
      </c>
      <c r="C477">
        <v>5.88</v>
      </c>
      <c r="D477">
        <v>8.2799999999999994</v>
      </c>
      <c r="E477">
        <v>0.46</v>
      </c>
      <c r="F477">
        <v>8.2899999999999991</v>
      </c>
      <c r="G477">
        <v>8.3000000000000007</v>
      </c>
      <c r="H477">
        <v>1005318</v>
      </c>
      <c r="I477">
        <v>222</v>
      </c>
      <c r="J477">
        <v>0.36</v>
      </c>
      <c r="K477">
        <v>2.58</v>
      </c>
      <c r="L477">
        <v>7.83</v>
      </c>
      <c r="M477">
        <v>8.3699999999999992</v>
      </c>
      <c r="N477">
        <v>7.76</v>
      </c>
      <c r="O477">
        <v>7.82</v>
      </c>
      <c r="P477">
        <v>22.33</v>
      </c>
      <c r="Q477">
        <v>816569536</v>
      </c>
      <c r="R477">
        <v>2.39</v>
      </c>
      <c r="S477" t="s">
        <v>635</v>
      </c>
      <c r="T477" t="s">
        <v>151</v>
      </c>
      <c r="U477">
        <v>7.8</v>
      </c>
      <c r="V477">
        <v>8.1199999999999992</v>
      </c>
      <c r="W477">
        <v>410104</v>
      </c>
      <c r="X477">
        <v>595214</v>
      </c>
      <c r="Y477">
        <v>0.69</v>
      </c>
      <c r="Z477">
        <v>6</v>
      </c>
      <c r="AA477">
        <v>2029</v>
      </c>
      <c r="AB477" t="s">
        <v>31</v>
      </c>
    </row>
    <row r="478" spans="1:28">
      <c r="A478" t="str">
        <f>"600584"</f>
        <v>600584</v>
      </c>
      <c r="B478" t="s">
        <v>636</v>
      </c>
      <c r="C478">
        <v>0.17</v>
      </c>
      <c r="D478">
        <v>5.85</v>
      </c>
      <c r="E478">
        <v>0.01</v>
      </c>
      <c r="F478">
        <v>5.83</v>
      </c>
      <c r="G478">
        <v>5.84</v>
      </c>
      <c r="H478">
        <v>102252</v>
      </c>
      <c r="I478">
        <v>15</v>
      </c>
      <c r="J478">
        <v>0</v>
      </c>
      <c r="K478">
        <v>1.2</v>
      </c>
      <c r="L478">
        <v>5.83</v>
      </c>
      <c r="M478">
        <v>5.91</v>
      </c>
      <c r="N478">
        <v>5.65</v>
      </c>
      <c r="O478">
        <v>5.84</v>
      </c>
      <c r="P478">
        <v>122.48</v>
      </c>
      <c r="Q478">
        <v>59647188</v>
      </c>
      <c r="R478">
        <v>1.02</v>
      </c>
      <c r="S478" t="s">
        <v>241</v>
      </c>
      <c r="T478" t="s">
        <v>120</v>
      </c>
      <c r="U478">
        <v>4.45</v>
      </c>
      <c r="V478">
        <v>5.83</v>
      </c>
      <c r="W478">
        <v>44865</v>
      </c>
      <c r="X478">
        <v>57387</v>
      </c>
      <c r="Y478">
        <v>0.78</v>
      </c>
      <c r="Z478">
        <v>655</v>
      </c>
      <c r="AA478">
        <v>276</v>
      </c>
      <c r="AB478" t="s">
        <v>31</v>
      </c>
    </row>
    <row r="479" spans="1:28">
      <c r="A479" t="str">
        <f>"600585"</f>
        <v>600585</v>
      </c>
      <c r="B479" t="s">
        <v>637</v>
      </c>
      <c r="C479">
        <v>1.19</v>
      </c>
      <c r="D479">
        <v>15.36</v>
      </c>
      <c r="E479">
        <v>0.18</v>
      </c>
      <c r="F479">
        <v>15.36</v>
      </c>
      <c r="G479">
        <v>15.37</v>
      </c>
      <c r="H479">
        <v>192309</v>
      </c>
      <c r="I479">
        <v>46</v>
      </c>
      <c r="J479">
        <v>-0.06</v>
      </c>
      <c r="K479">
        <v>0.48</v>
      </c>
      <c r="L479">
        <v>15.27</v>
      </c>
      <c r="M479">
        <v>15.5</v>
      </c>
      <c r="N479">
        <v>15.2</v>
      </c>
      <c r="O479">
        <v>15.18</v>
      </c>
      <c r="P479">
        <v>11.34</v>
      </c>
      <c r="Q479">
        <v>294989504</v>
      </c>
      <c r="R479">
        <v>0.82</v>
      </c>
      <c r="S479" t="s">
        <v>312</v>
      </c>
      <c r="T479" t="s">
        <v>52</v>
      </c>
      <c r="U479">
        <v>1.98</v>
      </c>
      <c r="V479">
        <v>15.34</v>
      </c>
      <c r="W479">
        <v>104609</v>
      </c>
      <c r="X479">
        <v>87700</v>
      </c>
      <c r="Y479">
        <v>1.19</v>
      </c>
      <c r="Z479">
        <v>278</v>
      </c>
      <c r="AA479">
        <v>470</v>
      </c>
      <c r="AB479" t="s">
        <v>31</v>
      </c>
    </row>
    <row r="480" spans="1:28">
      <c r="A480" t="str">
        <f>"600586"</f>
        <v>600586</v>
      </c>
      <c r="B480" t="s">
        <v>638</v>
      </c>
      <c r="C480">
        <v>2.39</v>
      </c>
      <c r="D480">
        <v>3.43</v>
      </c>
      <c r="E480">
        <v>0.08</v>
      </c>
      <c r="F480">
        <v>3.42</v>
      </c>
      <c r="G480">
        <v>3.43</v>
      </c>
      <c r="H480">
        <v>83382</v>
      </c>
      <c r="I480">
        <v>20</v>
      </c>
      <c r="J480">
        <v>0.28999999999999998</v>
      </c>
      <c r="K480">
        <v>0.86</v>
      </c>
      <c r="L480">
        <v>3.35</v>
      </c>
      <c r="M480">
        <v>3.43</v>
      </c>
      <c r="N480">
        <v>3.33</v>
      </c>
      <c r="O480">
        <v>3.35</v>
      </c>
      <c r="P480">
        <v>37.94</v>
      </c>
      <c r="Q480">
        <v>28330824</v>
      </c>
      <c r="R480">
        <v>0.63</v>
      </c>
      <c r="S480" t="s">
        <v>268</v>
      </c>
      <c r="T480" t="s">
        <v>57</v>
      </c>
      <c r="U480">
        <v>2.99</v>
      </c>
      <c r="V480">
        <v>3.4</v>
      </c>
      <c r="W480">
        <v>24244</v>
      </c>
      <c r="X480">
        <v>59138</v>
      </c>
      <c r="Y480">
        <v>0.41</v>
      </c>
      <c r="Z480">
        <v>1227</v>
      </c>
      <c r="AA480">
        <v>2336</v>
      </c>
      <c r="AB480" t="s">
        <v>31</v>
      </c>
    </row>
    <row r="481" spans="1:28">
      <c r="A481" t="str">
        <f>"600587"</f>
        <v>600587</v>
      </c>
      <c r="B481" t="s">
        <v>639</v>
      </c>
      <c r="C481">
        <v>1.68</v>
      </c>
      <c r="D481">
        <v>57.5</v>
      </c>
      <c r="E481">
        <v>0.95</v>
      </c>
      <c r="F481">
        <v>57.47</v>
      </c>
      <c r="G481">
        <v>57.5</v>
      </c>
      <c r="H481">
        <v>9938</v>
      </c>
      <c r="I481">
        <v>29</v>
      </c>
      <c r="J481">
        <v>0.05</v>
      </c>
      <c r="K481">
        <v>0.56999999999999995</v>
      </c>
      <c r="L481">
        <v>56.75</v>
      </c>
      <c r="M481">
        <v>59.03</v>
      </c>
      <c r="N481">
        <v>56</v>
      </c>
      <c r="O481">
        <v>56.55</v>
      </c>
      <c r="P481">
        <v>49.72</v>
      </c>
      <c r="Q481">
        <v>57360208</v>
      </c>
      <c r="R481">
        <v>0.83</v>
      </c>
      <c r="S481" t="s">
        <v>103</v>
      </c>
      <c r="T481" t="s">
        <v>57</v>
      </c>
      <c r="U481">
        <v>5.36</v>
      </c>
      <c r="V481">
        <v>57.72</v>
      </c>
      <c r="W481">
        <v>3639</v>
      </c>
      <c r="X481">
        <v>6299</v>
      </c>
      <c r="Y481">
        <v>0.57999999999999996</v>
      </c>
      <c r="Z481">
        <v>10</v>
      </c>
      <c r="AA481">
        <v>206</v>
      </c>
      <c r="AB481" t="s">
        <v>31</v>
      </c>
    </row>
    <row r="482" spans="1:28">
      <c r="A482" t="str">
        <f>"600588"</f>
        <v>600588</v>
      </c>
      <c r="B482" t="s">
        <v>640</v>
      </c>
      <c r="C482">
        <v>1.77</v>
      </c>
      <c r="D482">
        <v>12.09</v>
      </c>
      <c r="E482">
        <v>0.21</v>
      </c>
      <c r="F482">
        <v>12.09</v>
      </c>
      <c r="G482">
        <v>12.11</v>
      </c>
      <c r="H482">
        <v>96223</v>
      </c>
      <c r="I482">
        <v>224</v>
      </c>
      <c r="J482">
        <v>-0.16</v>
      </c>
      <c r="K482">
        <v>1</v>
      </c>
      <c r="L482">
        <v>11.98</v>
      </c>
      <c r="M482">
        <v>12.2</v>
      </c>
      <c r="N482">
        <v>11.81</v>
      </c>
      <c r="O482">
        <v>11.88</v>
      </c>
      <c r="P482">
        <v>1328.6</v>
      </c>
      <c r="Q482">
        <v>115521856</v>
      </c>
      <c r="R482">
        <v>0.5</v>
      </c>
      <c r="S482" t="s">
        <v>383</v>
      </c>
      <c r="T482" t="s">
        <v>42</v>
      </c>
      <c r="U482">
        <v>3.28</v>
      </c>
      <c r="V482">
        <v>12.01</v>
      </c>
      <c r="W482">
        <v>52513</v>
      </c>
      <c r="X482">
        <v>43710</v>
      </c>
      <c r="Y482">
        <v>1.2</v>
      </c>
      <c r="Z482">
        <v>18</v>
      </c>
      <c r="AA482">
        <v>240</v>
      </c>
      <c r="AB482" t="s">
        <v>31</v>
      </c>
    </row>
    <row r="483" spans="1:28">
      <c r="A483" t="str">
        <f>"600589"</f>
        <v>600589</v>
      </c>
      <c r="B483" t="s">
        <v>641</v>
      </c>
      <c r="C483">
        <v>1.59</v>
      </c>
      <c r="D483">
        <v>5.75</v>
      </c>
      <c r="E483">
        <v>0.09</v>
      </c>
      <c r="F483">
        <v>5.73</v>
      </c>
      <c r="G483">
        <v>5.74</v>
      </c>
      <c r="H483">
        <v>20995</v>
      </c>
      <c r="I483">
        <v>100</v>
      </c>
      <c r="J483">
        <v>0.17</v>
      </c>
      <c r="K483">
        <v>0.35</v>
      </c>
      <c r="L483">
        <v>5.66</v>
      </c>
      <c r="M483">
        <v>5.75</v>
      </c>
      <c r="N483">
        <v>5.6</v>
      </c>
      <c r="O483">
        <v>5.66</v>
      </c>
      <c r="P483">
        <v>41.1</v>
      </c>
      <c r="Q483">
        <v>11940365</v>
      </c>
      <c r="R483">
        <v>0.45</v>
      </c>
      <c r="S483" t="s">
        <v>135</v>
      </c>
      <c r="T483" t="s">
        <v>34</v>
      </c>
      <c r="U483">
        <v>2.65</v>
      </c>
      <c r="V483">
        <v>5.69</v>
      </c>
      <c r="W483">
        <v>7401</v>
      </c>
      <c r="X483">
        <v>13594</v>
      </c>
      <c r="Y483">
        <v>0.54</v>
      </c>
      <c r="Z483">
        <v>21</v>
      </c>
      <c r="AA483">
        <v>209</v>
      </c>
      <c r="AB483" t="s">
        <v>31</v>
      </c>
    </row>
    <row r="484" spans="1:28">
      <c r="A484" t="str">
        <f>"600590"</f>
        <v>600590</v>
      </c>
      <c r="B484" t="s">
        <v>642</v>
      </c>
      <c r="C484">
        <v>0.82</v>
      </c>
      <c r="D484">
        <v>6.14</v>
      </c>
      <c r="E484">
        <v>0.05</v>
      </c>
      <c r="F484">
        <v>6.13</v>
      </c>
      <c r="G484">
        <v>6.14</v>
      </c>
      <c r="H484">
        <v>23013</v>
      </c>
      <c r="I484">
        <v>34</v>
      </c>
      <c r="J484">
        <v>0</v>
      </c>
      <c r="K484">
        <v>0.46</v>
      </c>
      <c r="L484">
        <v>6.12</v>
      </c>
      <c r="M484">
        <v>6.14</v>
      </c>
      <c r="N484">
        <v>6.01</v>
      </c>
      <c r="O484">
        <v>6.09</v>
      </c>
      <c r="P484">
        <v>46.34</v>
      </c>
      <c r="Q484">
        <v>14017076</v>
      </c>
      <c r="R484">
        <v>0.48</v>
      </c>
      <c r="S484" t="s">
        <v>161</v>
      </c>
      <c r="T484" t="s">
        <v>99</v>
      </c>
      <c r="U484">
        <v>2.13</v>
      </c>
      <c r="V484">
        <v>6.09</v>
      </c>
      <c r="W484">
        <v>11525</v>
      </c>
      <c r="X484">
        <v>11488</v>
      </c>
      <c r="Y484">
        <v>1</v>
      </c>
      <c r="Z484">
        <v>31</v>
      </c>
      <c r="AA484">
        <v>120</v>
      </c>
      <c r="AB484" t="s">
        <v>31</v>
      </c>
    </row>
    <row r="485" spans="1:28">
      <c r="A485" t="str">
        <f>"600592"</f>
        <v>600592</v>
      </c>
      <c r="B485" t="s">
        <v>643</v>
      </c>
      <c r="C485">
        <v>-2.34</v>
      </c>
      <c r="D485">
        <v>7.94</v>
      </c>
      <c r="E485">
        <v>-0.19</v>
      </c>
      <c r="F485">
        <v>7.93</v>
      </c>
      <c r="G485">
        <v>7.94</v>
      </c>
      <c r="H485">
        <v>150934</v>
      </c>
      <c r="I485">
        <v>333</v>
      </c>
      <c r="J485">
        <v>-0.62</v>
      </c>
      <c r="K485">
        <v>5.03</v>
      </c>
      <c r="L485">
        <v>8.0299999999999994</v>
      </c>
      <c r="M485">
        <v>8.1</v>
      </c>
      <c r="N485">
        <v>7.84</v>
      </c>
      <c r="O485">
        <v>8.1300000000000008</v>
      </c>
      <c r="P485">
        <v>64.569999999999993</v>
      </c>
      <c r="Q485">
        <v>120044528</v>
      </c>
      <c r="R485">
        <v>0.51</v>
      </c>
      <c r="S485" t="s">
        <v>198</v>
      </c>
      <c r="T485" t="s">
        <v>78</v>
      </c>
      <c r="U485">
        <v>3.2</v>
      </c>
      <c r="V485">
        <v>7.95</v>
      </c>
      <c r="W485">
        <v>92601</v>
      </c>
      <c r="X485">
        <v>58333</v>
      </c>
      <c r="Y485">
        <v>1.59</v>
      </c>
      <c r="Z485">
        <v>1468</v>
      </c>
      <c r="AA485">
        <v>5600</v>
      </c>
      <c r="AB485" t="s">
        <v>31</v>
      </c>
    </row>
    <row r="486" spans="1:28">
      <c r="A486" t="str">
        <f>"600593"</f>
        <v>600593</v>
      </c>
      <c r="B486" t="s">
        <v>644</v>
      </c>
      <c r="C486">
        <v>2.2999999999999998</v>
      </c>
      <c r="D486">
        <v>12.45</v>
      </c>
      <c r="E486">
        <v>0.28000000000000003</v>
      </c>
      <c r="F486">
        <v>12.45</v>
      </c>
      <c r="G486">
        <v>12.46</v>
      </c>
      <c r="H486">
        <v>13373</v>
      </c>
      <c r="I486">
        <v>37</v>
      </c>
      <c r="J486">
        <v>0.8</v>
      </c>
      <c r="K486">
        <v>1.45</v>
      </c>
      <c r="L486">
        <v>12.21</v>
      </c>
      <c r="M486">
        <v>12.56</v>
      </c>
      <c r="N486">
        <v>12.17</v>
      </c>
      <c r="O486">
        <v>12.17</v>
      </c>
      <c r="P486" t="s">
        <v>31</v>
      </c>
      <c r="Q486">
        <v>16488301</v>
      </c>
      <c r="R486">
        <v>3.28</v>
      </c>
      <c r="S486" t="s">
        <v>101</v>
      </c>
      <c r="T486" t="s">
        <v>142</v>
      </c>
      <c r="U486">
        <v>3.2</v>
      </c>
      <c r="V486">
        <v>12.33</v>
      </c>
      <c r="W486">
        <v>9189</v>
      </c>
      <c r="X486">
        <v>4184</v>
      </c>
      <c r="Y486">
        <v>2.2000000000000002</v>
      </c>
      <c r="Z486">
        <v>63</v>
      </c>
      <c r="AA486">
        <v>23</v>
      </c>
      <c r="AB486" t="s">
        <v>31</v>
      </c>
    </row>
    <row r="487" spans="1:28">
      <c r="A487" t="str">
        <f>"600594"</f>
        <v>600594</v>
      </c>
      <c r="B487" t="s">
        <v>645</v>
      </c>
      <c r="C487">
        <v>0.33</v>
      </c>
      <c r="D487">
        <v>30.08</v>
      </c>
      <c r="E487">
        <v>0.1</v>
      </c>
      <c r="F487">
        <v>30.04</v>
      </c>
      <c r="G487">
        <v>30.06</v>
      </c>
      <c r="H487">
        <v>18859</v>
      </c>
      <c r="I487">
        <v>15</v>
      </c>
      <c r="J487">
        <v>-0.06</v>
      </c>
      <c r="K487">
        <v>0.53</v>
      </c>
      <c r="L487">
        <v>29.89</v>
      </c>
      <c r="M487">
        <v>30.67</v>
      </c>
      <c r="N487">
        <v>29.69</v>
      </c>
      <c r="O487">
        <v>29.98</v>
      </c>
      <c r="P487">
        <v>32.06</v>
      </c>
      <c r="Q487">
        <v>57159464</v>
      </c>
      <c r="R487">
        <v>1.1399999999999999</v>
      </c>
      <c r="S487" t="s">
        <v>156</v>
      </c>
      <c r="T487" t="s">
        <v>195</v>
      </c>
      <c r="U487">
        <v>3.27</v>
      </c>
      <c r="V487">
        <v>30.31</v>
      </c>
      <c r="W487">
        <v>9633</v>
      </c>
      <c r="X487">
        <v>9226</v>
      </c>
      <c r="Y487">
        <v>1.04</v>
      </c>
      <c r="Z487">
        <v>1</v>
      </c>
      <c r="AA487">
        <v>8</v>
      </c>
      <c r="AB487" t="s">
        <v>31</v>
      </c>
    </row>
    <row r="488" spans="1:28">
      <c r="A488" t="str">
        <f>"600595"</f>
        <v>600595</v>
      </c>
      <c r="B488" t="s">
        <v>646</v>
      </c>
      <c r="C488">
        <v>0.5</v>
      </c>
      <c r="D488">
        <v>4</v>
      </c>
      <c r="E488">
        <v>0.02</v>
      </c>
      <c r="F488">
        <v>3.99</v>
      </c>
      <c r="G488">
        <v>4</v>
      </c>
      <c r="H488">
        <v>66847</v>
      </c>
      <c r="I488">
        <v>1</v>
      </c>
      <c r="J488">
        <v>0</v>
      </c>
      <c r="K488">
        <v>0.44</v>
      </c>
      <c r="L488">
        <v>3.93</v>
      </c>
      <c r="M488">
        <v>4.08</v>
      </c>
      <c r="N488">
        <v>3.85</v>
      </c>
      <c r="O488">
        <v>3.98</v>
      </c>
      <c r="P488" t="s">
        <v>31</v>
      </c>
      <c r="Q488">
        <v>26690256</v>
      </c>
      <c r="R488">
        <v>0.84</v>
      </c>
      <c r="S488" t="s">
        <v>316</v>
      </c>
      <c r="T488" t="s">
        <v>61</v>
      </c>
      <c r="U488">
        <v>5.78</v>
      </c>
      <c r="V488">
        <v>3.99</v>
      </c>
      <c r="W488">
        <v>34587</v>
      </c>
      <c r="X488">
        <v>32260</v>
      </c>
      <c r="Y488">
        <v>1.07</v>
      </c>
      <c r="Z488">
        <v>246</v>
      </c>
      <c r="AA488">
        <v>59</v>
      </c>
      <c r="AB488" t="s">
        <v>31</v>
      </c>
    </row>
    <row r="489" spans="1:28">
      <c r="A489" t="str">
        <f>"600596"</f>
        <v>600596</v>
      </c>
      <c r="B489" t="s">
        <v>647</v>
      </c>
      <c r="C489">
        <v>0.55000000000000004</v>
      </c>
      <c r="D489">
        <v>10.9</v>
      </c>
      <c r="E489">
        <v>0.06</v>
      </c>
      <c r="F489">
        <v>10.9</v>
      </c>
      <c r="G489">
        <v>10.91</v>
      </c>
      <c r="H489">
        <v>93858</v>
      </c>
      <c r="I489">
        <v>86</v>
      </c>
      <c r="J489">
        <v>0</v>
      </c>
      <c r="K489">
        <v>1.38</v>
      </c>
      <c r="L489">
        <v>10.8</v>
      </c>
      <c r="M489">
        <v>10.92</v>
      </c>
      <c r="N489">
        <v>10.71</v>
      </c>
      <c r="O489">
        <v>10.84</v>
      </c>
      <c r="P489">
        <v>15.36</v>
      </c>
      <c r="Q489">
        <v>101749312</v>
      </c>
      <c r="R489">
        <v>0.6</v>
      </c>
      <c r="S489" t="s">
        <v>169</v>
      </c>
      <c r="T489" t="s">
        <v>95</v>
      </c>
      <c r="U489">
        <v>1.94</v>
      </c>
      <c r="V489">
        <v>10.84</v>
      </c>
      <c r="W489">
        <v>47242</v>
      </c>
      <c r="X489">
        <v>46616</v>
      </c>
      <c r="Y489">
        <v>1.01</v>
      </c>
      <c r="Z489">
        <v>284</v>
      </c>
      <c r="AA489">
        <v>574</v>
      </c>
      <c r="AB489" t="s">
        <v>31</v>
      </c>
    </row>
    <row r="490" spans="1:28">
      <c r="A490" t="str">
        <f>"600597"</f>
        <v>600597</v>
      </c>
      <c r="B490" t="s">
        <v>648</v>
      </c>
      <c r="C490">
        <v>3.56</v>
      </c>
      <c r="D490">
        <v>22.41</v>
      </c>
      <c r="E490">
        <v>0.77</v>
      </c>
      <c r="F490">
        <v>22.4</v>
      </c>
      <c r="G490">
        <v>22.43</v>
      </c>
      <c r="H490">
        <v>129021</v>
      </c>
      <c r="I490">
        <v>11</v>
      </c>
      <c r="J490">
        <v>0.08</v>
      </c>
      <c r="K490">
        <v>1.06</v>
      </c>
      <c r="L490">
        <v>21.43</v>
      </c>
      <c r="M490">
        <v>22.52</v>
      </c>
      <c r="N490">
        <v>21.2</v>
      </c>
      <c r="O490">
        <v>21.64</v>
      </c>
      <c r="P490">
        <v>66.87</v>
      </c>
      <c r="Q490">
        <v>284544704</v>
      </c>
      <c r="R490">
        <v>0.75</v>
      </c>
      <c r="S490" t="s">
        <v>513</v>
      </c>
      <c r="T490" t="s">
        <v>30</v>
      </c>
      <c r="U490">
        <v>6.1</v>
      </c>
      <c r="V490">
        <v>22.05</v>
      </c>
      <c r="W490">
        <v>65118</v>
      </c>
      <c r="X490">
        <v>63903</v>
      </c>
      <c r="Y490">
        <v>1.02</v>
      </c>
      <c r="Z490">
        <v>66</v>
      </c>
      <c r="AA490">
        <v>52</v>
      </c>
      <c r="AB490" t="s">
        <v>31</v>
      </c>
    </row>
    <row r="491" spans="1:28">
      <c r="A491" t="str">
        <f>"600598"</f>
        <v>600598</v>
      </c>
      <c r="B491" t="s">
        <v>649</v>
      </c>
      <c r="C491">
        <v>-1.39</v>
      </c>
      <c r="D491">
        <v>12.81</v>
      </c>
      <c r="E491">
        <v>-0.18</v>
      </c>
      <c r="F491">
        <v>12.81</v>
      </c>
      <c r="G491">
        <v>12.82</v>
      </c>
      <c r="H491">
        <v>717301</v>
      </c>
      <c r="I491">
        <v>150</v>
      </c>
      <c r="J491">
        <v>0.23</v>
      </c>
      <c r="K491">
        <v>4.04</v>
      </c>
      <c r="L491">
        <v>12.59</v>
      </c>
      <c r="M491">
        <v>13.28</v>
      </c>
      <c r="N491">
        <v>12.41</v>
      </c>
      <c r="O491">
        <v>12.99</v>
      </c>
      <c r="P491">
        <v>242.37</v>
      </c>
      <c r="Q491">
        <v>921097472</v>
      </c>
      <c r="R491">
        <v>1.34</v>
      </c>
      <c r="S491" t="s">
        <v>408</v>
      </c>
      <c r="T491" t="s">
        <v>85</v>
      </c>
      <c r="U491">
        <v>6.7</v>
      </c>
      <c r="V491">
        <v>12.84</v>
      </c>
      <c r="W491">
        <v>352416</v>
      </c>
      <c r="X491">
        <v>364885</v>
      </c>
      <c r="Y491">
        <v>0.97</v>
      </c>
      <c r="Z491">
        <v>307</v>
      </c>
      <c r="AA491">
        <v>840</v>
      </c>
      <c r="AB491" t="s">
        <v>31</v>
      </c>
    </row>
    <row r="492" spans="1:28">
      <c r="A492" t="str">
        <f>"600599"</f>
        <v>600599</v>
      </c>
      <c r="B492" t="s">
        <v>650</v>
      </c>
      <c r="C492">
        <v>1.36</v>
      </c>
      <c r="D492">
        <v>8.9499999999999993</v>
      </c>
      <c r="E492">
        <v>0.12</v>
      </c>
      <c r="F492">
        <v>8.94</v>
      </c>
      <c r="G492">
        <v>8.9499999999999993</v>
      </c>
      <c r="H492">
        <v>11239</v>
      </c>
      <c r="I492">
        <v>45</v>
      </c>
      <c r="J492">
        <v>0.11</v>
      </c>
      <c r="K492">
        <v>0.89</v>
      </c>
      <c r="L492">
        <v>8.9499999999999993</v>
      </c>
      <c r="M492">
        <v>8.98</v>
      </c>
      <c r="N492">
        <v>8.8000000000000007</v>
      </c>
      <c r="O492">
        <v>8.83</v>
      </c>
      <c r="P492">
        <v>22.13</v>
      </c>
      <c r="Q492">
        <v>10009924</v>
      </c>
      <c r="R492">
        <v>0.63</v>
      </c>
      <c r="S492" t="s">
        <v>346</v>
      </c>
      <c r="T492" t="s">
        <v>76</v>
      </c>
      <c r="U492">
        <v>2.04</v>
      </c>
      <c r="V492">
        <v>8.91</v>
      </c>
      <c r="W492">
        <v>4786</v>
      </c>
      <c r="X492">
        <v>6453</v>
      </c>
      <c r="Y492">
        <v>0.74</v>
      </c>
      <c r="Z492">
        <v>66</v>
      </c>
      <c r="AA492">
        <v>23</v>
      </c>
      <c r="AB492" t="s">
        <v>31</v>
      </c>
    </row>
    <row r="493" spans="1:28">
      <c r="A493" t="str">
        <f>"600600"</f>
        <v>600600</v>
      </c>
      <c r="B493" t="s">
        <v>651</v>
      </c>
      <c r="C493">
        <v>-1.8</v>
      </c>
      <c r="D493">
        <v>46.28</v>
      </c>
      <c r="E493">
        <v>-0.85</v>
      </c>
      <c r="F493">
        <v>46.19</v>
      </c>
      <c r="G493">
        <v>46.3</v>
      </c>
      <c r="H493">
        <v>15727</v>
      </c>
      <c r="I493">
        <v>2</v>
      </c>
      <c r="J493">
        <v>-0.02</v>
      </c>
      <c r="K493">
        <v>0.23</v>
      </c>
      <c r="L493">
        <v>47</v>
      </c>
      <c r="M493">
        <v>47.47</v>
      </c>
      <c r="N493">
        <v>45.76</v>
      </c>
      <c r="O493">
        <v>47.13</v>
      </c>
      <c r="P493">
        <v>22.41</v>
      </c>
      <c r="Q493">
        <v>73062480</v>
      </c>
      <c r="R493">
        <v>0.96</v>
      </c>
      <c r="S493" t="s">
        <v>163</v>
      </c>
      <c r="T493" t="s">
        <v>57</v>
      </c>
      <c r="U493">
        <v>3.63</v>
      </c>
      <c r="V493">
        <v>46.46</v>
      </c>
      <c r="W493">
        <v>8627</v>
      </c>
      <c r="X493">
        <v>7100</v>
      </c>
      <c r="Y493">
        <v>1.22</v>
      </c>
      <c r="Z493">
        <v>2</v>
      </c>
      <c r="AA493">
        <v>49</v>
      </c>
      <c r="AB493" t="s">
        <v>31</v>
      </c>
    </row>
    <row r="494" spans="1:28">
      <c r="A494" t="str">
        <f>"600601"</f>
        <v>600601</v>
      </c>
      <c r="B494" t="s">
        <v>652</v>
      </c>
      <c r="C494">
        <v>1.44</v>
      </c>
      <c r="D494">
        <v>2.81</v>
      </c>
      <c r="E494">
        <v>0.04</v>
      </c>
      <c r="F494">
        <v>2.81</v>
      </c>
      <c r="G494">
        <v>2.82</v>
      </c>
      <c r="H494">
        <v>146354</v>
      </c>
      <c r="I494">
        <v>12</v>
      </c>
      <c r="J494">
        <v>0</v>
      </c>
      <c r="K494">
        <v>0.67</v>
      </c>
      <c r="L494">
        <v>2.77</v>
      </c>
      <c r="M494">
        <v>2.83</v>
      </c>
      <c r="N494">
        <v>2.73</v>
      </c>
      <c r="O494">
        <v>2.77</v>
      </c>
      <c r="P494">
        <v>78.849999999999994</v>
      </c>
      <c r="Q494">
        <v>40602948</v>
      </c>
      <c r="R494">
        <v>0.73</v>
      </c>
      <c r="S494" t="s">
        <v>177</v>
      </c>
      <c r="T494" t="s">
        <v>30</v>
      </c>
      <c r="U494">
        <v>3.61</v>
      </c>
      <c r="V494">
        <v>2.77</v>
      </c>
      <c r="W494">
        <v>76210</v>
      </c>
      <c r="X494">
        <v>70144</v>
      </c>
      <c r="Y494">
        <v>1.0900000000000001</v>
      </c>
      <c r="Z494">
        <v>9</v>
      </c>
      <c r="AA494">
        <v>4155</v>
      </c>
      <c r="AB494" t="s">
        <v>31</v>
      </c>
    </row>
    <row r="495" spans="1:28">
      <c r="A495" t="str">
        <f>"600602"</f>
        <v>600602</v>
      </c>
      <c r="B495" t="s">
        <v>653</v>
      </c>
      <c r="C495">
        <v>0.68</v>
      </c>
      <c r="D495">
        <v>4.47</v>
      </c>
      <c r="E495">
        <v>0.03</v>
      </c>
      <c r="F495">
        <v>4.46</v>
      </c>
      <c r="G495">
        <v>4.47</v>
      </c>
      <c r="H495">
        <v>30260</v>
      </c>
      <c r="I495">
        <v>1</v>
      </c>
      <c r="J495">
        <v>0</v>
      </c>
      <c r="K495">
        <v>0.34</v>
      </c>
      <c r="L495">
        <v>4.42</v>
      </c>
      <c r="M495">
        <v>4.4800000000000004</v>
      </c>
      <c r="N495">
        <v>4.3499999999999996</v>
      </c>
      <c r="O495">
        <v>4.4400000000000004</v>
      </c>
      <c r="P495">
        <v>78.3</v>
      </c>
      <c r="Q495">
        <v>13395606</v>
      </c>
      <c r="R495">
        <v>0.53</v>
      </c>
      <c r="S495" t="s">
        <v>153</v>
      </c>
      <c r="T495" t="s">
        <v>30</v>
      </c>
      <c r="U495">
        <v>2.93</v>
      </c>
      <c r="V495">
        <v>4.43</v>
      </c>
      <c r="W495">
        <v>14935</v>
      </c>
      <c r="X495">
        <v>15325</v>
      </c>
      <c r="Y495">
        <v>0.97</v>
      </c>
      <c r="Z495">
        <v>201</v>
      </c>
      <c r="AA495">
        <v>133</v>
      </c>
      <c r="AB495" t="s">
        <v>31</v>
      </c>
    </row>
    <row r="496" spans="1:28">
      <c r="A496" t="str">
        <f>"600603"</f>
        <v>600603</v>
      </c>
      <c r="B496" t="s">
        <v>654</v>
      </c>
      <c r="C496">
        <v>1.73</v>
      </c>
      <c r="D496">
        <v>5.28</v>
      </c>
      <c r="E496">
        <v>0.09</v>
      </c>
      <c r="F496">
        <v>5.28</v>
      </c>
      <c r="G496">
        <v>5.29</v>
      </c>
      <c r="H496">
        <v>13330</v>
      </c>
      <c r="I496">
        <v>260</v>
      </c>
      <c r="J496">
        <v>0.56999999999999995</v>
      </c>
      <c r="K496">
        <v>0.68</v>
      </c>
      <c r="L496">
        <v>5.19</v>
      </c>
      <c r="M496">
        <v>5.33</v>
      </c>
      <c r="N496">
        <v>5.15</v>
      </c>
      <c r="O496">
        <v>5.19</v>
      </c>
      <c r="P496" t="s">
        <v>31</v>
      </c>
      <c r="Q496">
        <v>7007097</v>
      </c>
      <c r="R496">
        <v>0.82</v>
      </c>
      <c r="S496" t="s">
        <v>94</v>
      </c>
      <c r="T496" t="s">
        <v>78</v>
      </c>
      <c r="U496">
        <v>3.47</v>
      </c>
      <c r="V496">
        <v>5.26</v>
      </c>
      <c r="W496">
        <v>6717</v>
      </c>
      <c r="X496">
        <v>6613</v>
      </c>
      <c r="Y496">
        <v>1.02</v>
      </c>
      <c r="Z496">
        <v>289</v>
      </c>
      <c r="AA496">
        <v>610</v>
      </c>
      <c r="AB496" t="s">
        <v>31</v>
      </c>
    </row>
    <row r="497" spans="1:28">
      <c r="A497" t="str">
        <f>"600604"</f>
        <v>600604</v>
      </c>
      <c r="B497" t="s">
        <v>655</v>
      </c>
      <c r="C497">
        <v>0.63</v>
      </c>
      <c r="D497">
        <v>8.0399999999999991</v>
      </c>
      <c r="E497">
        <v>0.05</v>
      </c>
      <c r="F497">
        <v>8.0399999999999991</v>
      </c>
      <c r="G497">
        <v>8.08</v>
      </c>
      <c r="H497">
        <v>11626</v>
      </c>
      <c r="I497">
        <v>10</v>
      </c>
      <c r="J497">
        <v>0</v>
      </c>
      <c r="K497">
        <v>0.35</v>
      </c>
      <c r="L497">
        <v>7.93</v>
      </c>
      <c r="M497">
        <v>8.1</v>
      </c>
      <c r="N497">
        <v>7.93</v>
      </c>
      <c r="O497">
        <v>7.99</v>
      </c>
      <c r="P497">
        <v>43.86</v>
      </c>
      <c r="Q497">
        <v>9330710</v>
      </c>
      <c r="R497">
        <v>0.53</v>
      </c>
      <c r="S497" t="s">
        <v>656</v>
      </c>
      <c r="T497" t="s">
        <v>30</v>
      </c>
      <c r="U497">
        <v>2.13</v>
      </c>
      <c r="V497">
        <v>8.0299999999999994</v>
      </c>
      <c r="W497">
        <v>6921</v>
      </c>
      <c r="X497">
        <v>4705</v>
      </c>
      <c r="Y497">
        <v>1.47</v>
      </c>
      <c r="Z497">
        <v>50</v>
      </c>
      <c r="AA497">
        <v>84</v>
      </c>
      <c r="AB497" t="s">
        <v>31</v>
      </c>
    </row>
    <row r="498" spans="1:28">
      <c r="A498" t="str">
        <f>"600605"</f>
        <v>600605</v>
      </c>
      <c r="B498" t="s">
        <v>657</v>
      </c>
      <c r="C498">
        <v>1.18</v>
      </c>
      <c r="D498">
        <v>7.74</v>
      </c>
      <c r="E498">
        <v>0.09</v>
      </c>
      <c r="F498">
        <v>7.74</v>
      </c>
      <c r="G498">
        <v>7.75</v>
      </c>
      <c r="H498">
        <v>7992</v>
      </c>
      <c r="I498">
        <v>49</v>
      </c>
      <c r="J498">
        <v>-0.12</v>
      </c>
      <c r="K498">
        <v>0.54</v>
      </c>
      <c r="L498">
        <v>7.72</v>
      </c>
      <c r="M498">
        <v>7.78</v>
      </c>
      <c r="N498">
        <v>7.62</v>
      </c>
      <c r="O498">
        <v>7.65</v>
      </c>
      <c r="P498">
        <v>85.39</v>
      </c>
      <c r="Q498">
        <v>6155753</v>
      </c>
      <c r="R498">
        <v>0.79</v>
      </c>
      <c r="S498" t="s">
        <v>109</v>
      </c>
      <c r="T498" t="s">
        <v>30</v>
      </c>
      <c r="U498">
        <v>2.09</v>
      </c>
      <c r="V498">
        <v>7.7</v>
      </c>
      <c r="W498">
        <v>4290</v>
      </c>
      <c r="X498">
        <v>3702</v>
      </c>
      <c r="Y498">
        <v>1.1599999999999999</v>
      </c>
      <c r="Z498">
        <v>8</v>
      </c>
      <c r="AA498">
        <v>18</v>
      </c>
      <c r="AB498" t="s">
        <v>31</v>
      </c>
    </row>
    <row r="499" spans="1:28">
      <c r="A499" t="str">
        <f>"600606"</f>
        <v>600606</v>
      </c>
      <c r="B499" t="s">
        <v>658</v>
      </c>
      <c r="C499">
        <v>0</v>
      </c>
      <c r="D499">
        <v>5.23</v>
      </c>
      <c r="E499">
        <v>0</v>
      </c>
      <c r="F499" t="s">
        <v>31</v>
      </c>
      <c r="G499" t="s">
        <v>31</v>
      </c>
      <c r="H499">
        <v>0</v>
      </c>
      <c r="I499">
        <v>0</v>
      </c>
      <c r="J499">
        <v>0</v>
      </c>
      <c r="K499">
        <v>0</v>
      </c>
      <c r="L499" t="s">
        <v>31</v>
      </c>
      <c r="M499" t="s">
        <v>31</v>
      </c>
      <c r="N499" t="s">
        <v>31</v>
      </c>
      <c r="O499">
        <v>5.23</v>
      </c>
      <c r="P499">
        <v>766.78</v>
      </c>
      <c r="Q499">
        <v>0</v>
      </c>
      <c r="R499">
        <v>0</v>
      </c>
      <c r="S499" t="s">
        <v>656</v>
      </c>
      <c r="T499" t="s">
        <v>30</v>
      </c>
      <c r="U499">
        <v>0</v>
      </c>
      <c r="V499">
        <v>5.23</v>
      </c>
      <c r="W499">
        <v>0</v>
      </c>
      <c r="X499">
        <v>0</v>
      </c>
      <c r="Y499" t="s">
        <v>31</v>
      </c>
      <c r="Z499">
        <v>0</v>
      </c>
      <c r="AA499">
        <v>0</v>
      </c>
      <c r="AB499" t="s">
        <v>31</v>
      </c>
    </row>
    <row r="500" spans="1:28">
      <c r="A500" t="str">
        <f>"600608"</f>
        <v>600608</v>
      </c>
      <c r="B500" t="s">
        <v>659</v>
      </c>
      <c r="C500">
        <v>1.38</v>
      </c>
      <c r="D500">
        <v>6.6</v>
      </c>
      <c r="E500">
        <v>0.09</v>
      </c>
      <c r="F500">
        <v>6.59</v>
      </c>
      <c r="G500">
        <v>6.6</v>
      </c>
      <c r="H500">
        <v>31754</v>
      </c>
      <c r="I500">
        <v>10</v>
      </c>
      <c r="J500">
        <v>0.45</v>
      </c>
      <c r="K500">
        <v>1.03</v>
      </c>
      <c r="L500">
        <v>6.5</v>
      </c>
      <c r="M500">
        <v>6.6</v>
      </c>
      <c r="N500">
        <v>6.41</v>
      </c>
      <c r="O500">
        <v>6.51</v>
      </c>
      <c r="P500" t="s">
        <v>31</v>
      </c>
      <c r="Q500">
        <v>20705498</v>
      </c>
      <c r="R500">
        <v>0.51</v>
      </c>
      <c r="S500" t="s">
        <v>140</v>
      </c>
      <c r="T500" t="s">
        <v>30</v>
      </c>
      <c r="U500">
        <v>2.92</v>
      </c>
      <c r="V500">
        <v>6.52</v>
      </c>
      <c r="W500">
        <v>17428</v>
      </c>
      <c r="X500">
        <v>14326</v>
      </c>
      <c r="Y500">
        <v>1.22</v>
      </c>
      <c r="Z500">
        <v>574</v>
      </c>
      <c r="AA500">
        <v>105</v>
      </c>
      <c r="AB500" t="s">
        <v>31</v>
      </c>
    </row>
    <row r="501" spans="1:28">
      <c r="A501" t="str">
        <f>"600609"</f>
        <v>600609</v>
      </c>
      <c r="B501" t="s">
        <v>660</v>
      </c>
      <c r="C501">
        <v>0.63</v>
      </c>
      <c r="D501">
        <v>3.19</v>
      </c>
      <c r="E501">
        <v>0.02</v>
      </c>
      <c r="F501">
        <v>3.19</v>
      </c>
      <c r="G501">
        <v>3.2</v>
      </c>
      <c r="H501">
        <v>73024</v>
      </c>
      <c r="I501">
        <v>10</v>
      </c>
      <c r="J501">
        <v>0.31</v>
      </c>
      <c r="K501">
        <v>0.67</v>
      </c>
      <c r="L501">
        <v>3.17</v>
      </c>
      <c r="M501">
        <v>3.22</v>
      </c>
      <c r="N501">
        <v>3.12</v>
      </c>
      <c r="O501">
        <v>3.17</v>
      </c>
      <c r="P501">
        <v>70.16</v>
      </c>
      <c r="Q501">
        <v>23127768</v>
      </c>
      <c r="R501">
        <v>0.6</v>
      </c>
      <c r="S501" t="s">
        <v>39</v>
      </c>
      <c r="T501" t="s">
        <v>142</v>
      </c>
      <c r="U501">
        <v>3.15</v>
      </c>
      <c r="V501">
        <v>3.17</v>
      </c>
      <c r="W501">
        <v>38920</v>
      </c>
      <c r="X501">
        <v>34104</v>
      </c>
      <c r="Y501">
        <v>1.1399999999999999</v>
      </c>
      <c r="Z501">
        <v>229</v>
      </c>
      <c r="AA501">
        <v>1079</v>
      </c>
      <c r="AB501" t="s">
        <v>31</v>
      </c>
    </row>
    <row r="502" spans="1:28">
      <c r="A502" t="str">
        <f>"600610"</f>
        <v>600610</v>
      </c>
      <c r="B502" t="s">
        <v>661</v>
      </c>
      <c r="C502">
        <v>-0.44</v>
      </c>
      <c r="D502">
        <v>22.56</v>
      </c>
      <c r="E502">
        <v>-0.1</v>
      </c>
      <c r="F502">
        <v>22.52</v>
      </c>
      <c r="G502">
        <v>22.6</v>
      </c>
      <c r="H502">
        <v>7287</v>
      </c>
      <c r="I502">
        <v>10</v>
      </c>
      <c r="J502">
        <v>-0.17</v>
      </c>
      <c r="K502">
        <v>2.83</v>
      </c>
      <c r="L502">
        <v>22.71</v>
      </c>
      <c r="M502">
        <v>23.51</v>
      </c>
      <c r="N502">
        <v>22.32</v>
      </c>
      <c r="O502">
        <v>22.66</v>
      </c>
      <c r="P502" t="s">
        <v>31</v>
      </c>
      <c r="Q502">
        <v>16623357</v>
      </c>
      <c r="R502">
        <v>0.63</v>
      </c>
      <c r="S502" t="s">
        <v>396</v>
      </c>
      <c r="T502" t="s">
        <v>30</v>
      </c>
      <c r="U502">
        <v>5.25</v>
      </c>
      <c r="V502">
        <v>22.81</v>
      </c>
      <c r="W502">
        <v>4189</v>
      </c>
      <c r="X502">
        <v>3098</v>
      </c>
      <c r="Y502">
        <v>1.35</v>
      </c>
      <c r="Z502">
        <v>7</v>
      </c>
      <c r="AA502">
        <v>0</v>
      </c>
      <c r="AB502" t="s">
        <v>31</v>
      </c>
    </row>
    <row r="503" spans="1:28">
      <c r="A503" t="str">
        <f>"600611"</f>
        <v>600611</v>
      </c>
      <c r="B503" t="s">
        <v>662</v>
      </c>
      <c r="C503">
        <v>2.33</v>
      </c>
      <c r="D503">
        <v>6.16</v>
      </c>
      <c r="E503">
        <v>0.14000000000000001</v>
      </c>
      <c r="F503">
        <v>6.15</v>
      </c>
      <c r="G503">
        <v>6.16</v>
      </c>
      <c r="H503">
        <v>68847</v>
      </c>
      <c r="I503">
        <v>99</v>
      </c>
      <c r="J503">
        <v>0.32</v>
      </c>
      <c r="K503">
        <v>0.66</v>
      </c>
      <c r="L503">
        <v>6.05</v>
      </c>
      <c r="M503">
        <v>6.16</v>
      </c>
      <c r="N503">
        <v>6.01</v>
      </c>
      <c r="O503">
        <v>6.02</v>
      </c>
      <c r="P503">
        <v>20.77</v>
      </c>
      <c r="Q503">
        <v>41997344</v>
      </c>
      <c r="R503">
        <v>0.72</v>
      </c>
      <c r="S503" t="s">
        <v>477</v>
      </c>
      <c r="T503" t="s">
        <v>30</v>
      </c>
      <c r="U503">
        <v>2.4900000000000002</v>
      </c>
      <c r="V503">
        <v>6.1</v>
      </c>
      <c r="W503">
        <v>28455</v>
      </c>
      <c r="X503">
        <v>40392</v>
      </c>
      <c r="Y503">
        <v>0.7</v>
      </c>
      <c r="Z503">
        <v>98</v>
      </c>
      <c r="AA503">
        <v>935</v>
      </c>
      <c r="AB503" t="s">
        <v>31</v>
      </c>
    </row>
    <row r="504" spans="1:28">
      <c r="A504" t="str">
        <f>"600612"</f>
        <v>600612</v>
      </c>
      <c r="B504" t="s">
        <v>663</v>
      </c>
      <c r="C504">
        <v>-2.1800000000000002</v>
      </c>
      <c r="D504">
        <v>27.37</v>
      </c>
      <c r="E504">
        <v>-0.61</v>
      </c>
      <c r="F504">
        <v>27.35</v>
      </c>
      <c r="G504">
        <v>27.41</v>
      </c>
      <c r="H504">
        <v>15296</v>
      </c>
      <c r="I504">
        <v>119</v>
      </c>
      <c r="J504">
        <v>7.0000000000000007E-2</v>
      </c>
      <c r="K504">
        <v>0.48</v>
      </c>
      <c r="L504">
        <v>27.25</v>
      </c>
      <c r="M504">
        <v>27.73</v>
      </c>
      <c r="N504">
        <v>26.73</v>
      </c>
      <c r="O504">
        <v>27.98</v>
      </c>
      <c r="P504">
        <v>16.97</v>
      </c>
      <c r="Q504">
        <v>41270996</v>
      </c>
      <c r="R504">
        <v>0.76</v>
      </c>
      <c r="S504" t="s">
        <v>158</v>
      </c>
      <c r="T504" t="s">
        <v>30</v>
      </c>
      <c r="U504">
        <v>3.57</v>
      </c>
      <c r="V504">
        <v>26.98</v>
      </c>
      <c r="W504">
        <v>8618</v>
      </c>
      <c r="X504">
        <v>6678</v>
      </c>
      <c r="Y504">
        <v>1.29</v>
      </c>
      <c r="Z504">
        <v>8</v>
      </c>
      <c r="AA504">
        <v>32</v>
      </c>
      <c r="AB504" t="s">
        <v>31</v>
      </c>
    </row>
    <row r="505" spans="1:28">
      <c r="A505" t="str">
        <f>"600613"</f>
        <v>600613</v>
      </c>
      <c r="B505" t="s">
        <v>664</v>
      </c>
      <c r="C505">
        <v>-7.0000000000000007E-2</v>
      </c>
      <c r="D505">
        <v>14.57</v>
      </c>
      <c r="E505">
        <v>-0.01</v>
      </c>
      <c r="F505">
        <v>14.58</v>
      </c>
      <c r="G505">
        <v>14.61</v>
      </c>
      <c r="H505">
        <v>13947</v>
      </c>
      <c r="I505">
        <v>5</v>
      </c>
      <c r="J505">
        <v>-0.34</v>
      </c>
      <c r="K505">
        <v>1.36</v>
      </c>
      <c r="L505">
        <v>14.52</v>
      </c>
      <c r="M505">
        <v>14.71</v>
      </c>
      <c r="N505">
        <v>14.36</v>
      </c>
      <c r="O505">
        <v>14.58</v>
      </c>
      <c r="P505">
        <v>84.21</v>
      </c>
      <c r="Q505">
        <v>20301340</v>
      </c>
      <c r="R505">
        <v>0.61</v>
      </c>
      <c r="S505" t="s">
        <v>156</v>
      </c>
      <c r="T505" t="s">
        <v>30</v>
      </c>
      <c r="U505">
        <v>2.4</v>
      </c>
      <c r="V505">
        <v>14.56</v>
      </c>
      <c r="W505">
        <v>6835</v>
      </c>
      <c r="X505">
        <v>7112</v>
      </c>
      <c r="Y505">
        <v>0.96</v>
      </c>
      <c r="Z505">
        <v>36</v>
      </c>
      <c r="AA505">
        <v>12</v>
      </c>
      <c r="AB505" t="s">
        <v>31</v>
      </c>
    </row>
    <row r="506" spans="1:28">
      <c r="A506" t="str">
        <f>"600614"</f>
        <v>600614</v>
      </c>
      <c r="B506" t="s">
        <v>665</v>
      </c>
      <c r="C506">
        <v>-0.56999999999999995</v>
      </c>
      <c r="D506">
        <v>10.44</v>
      </c>
      <c r="E506">
        <v>-0.06</v>
      </c>
      <c r="F506">
        <v>10.5</v>
      </c>
      <c r="G506">
        <v>10.51</v>
      </c>
      <c r="H506">
        <v>70825</v>
      </c>
      <c r="I506">
        <v>98</v>
      </c>
      <c r="J506">
        <v>0.38</v>
      </c>
      <c r="K506">
        <v>1.59</v>
      </c>
      <c r="L506">
        <v>10.51</v>
      </c>
      <c r="M506">
        <v>10.6</v>
      </c>
      <c r="N506">
        <v>10.25</v>
      </c>
      <c r="O506">
        <v>10.5</v>
      </c>
      <c r="P506">
        <v>112.4</v>
      </c>
      <c r="Q506">
        <v>74036544</v>
      </c>
      <c r="R506">
        <v>0.59</v>
      </c>
      <c r="S506" t="s">
        <v>94</v>
      </c>
      <c r="T506" t="s">
        <v>30</v>
      </c>
      <c r="U506">
        <v>3.33</v>
      </c>
      <c r="V506">
        <v>10.45</v>
      </c>
      <c r="W506">
        <v>33670</v>
      </c>
      <c r="X506">
        <v>37155</v>
      </c>
      <c r="Y506">
        <v>0.91</v>
      </c>
      <c r="Z506">
        <v>572</v>
      </c>
      <c r="AA506">
        <v>155</v>
      </c>
      <c r="AB506" t="s">
        <v>31</v>
      </c>
    </row>
    <row r="507" spans="1:28">
      <c r="A507" t="str">
        <f>"600615"</f>
        <v>600615</v>
      </c>
      <c r="B507" t="s">
        <v>666</v>
      </c>
      <c r="C507">
        <v>2.15</v>
      </c>
      <c r="D507">
        <v>9.9700000000000006</v>
      </c>
      <c r="E507">
        <v>0.21</v>
      </c>
      <c r="F507">
        <v>9.9600000000000009</v>
      </c>
      <c r="G507">
        <v>9.98</v>
      </c>
      <c r="H507">
        <v>32132</v>
      </c>
      <c r="I507">
        <v>73</v>
      </c>
      <c r="J507">
        <v>0.8</v>
      </c>
      <c r="K507">
        <v>1.72</v>
      </c>
      <c r="L507">
        <v>9.84</v>
      </c>
      <c r="M507">
        <v>9.98</v>
      </c>
      <c r="N507">
        <v>9.5</v>
      </c>
      <c r="O507">
        <v>9.76</v>
      </c>
      <c r="P507">
        <v>199.44</v>
      </c>
      <c r="Q507">
        <v>31208702</v>
      </c>
      <c r="R507">
        <v>0.63</v>
      </c>
      <c r="S507" t="s">
        <v>97</v>
      </c>
      <c r="T507" t="s">
        <v>30</v>
      </c>
      <c r="U507">
        <v>4.92</v>
      </c>
      <c r="V507">
        <v>9.7100000000000009</v>
      </c>
      <c r="W507">
        <v>18087</v>
      </c>
      <c r="X507">
        <v>14045</v>
      </c>
      <c r="Y507">
        <v>1.29</v>
      </c>
      <c r="Z507">
        <v>65</v>
      </c>
      <c r="AA507">
        <v>6</v>
      </c>
      <c r="AB507" t="s">
        <v>31</v>
      </c>
    </row>
    <row r="508" spans="1:28">
      <c r="A508" t="str">
        <f>"600616"</f>
        <v>600616</v>
      </c>
      <c r="B508" t="s">
        <v>667</v>
      </c>
      <c r="C508">
        <v>2.52</v>
      </c>
      <c r="D508">
        <v>8.5399999999999991</v>
      </c>
      <c r="E508">
        <v>0.21</v>
      </c>
      <c r="F508">
        <v>8.5299999999999994</v>
      </c>
      <c r="G508">
        <v>8.5399999999999991</v>
      </c>
      <c r="H508">
        <v>49297</v>
      </c>
      <c r="I508">
        <v>4</v>
      </c>
      <c r="J508">
        <v>0</v>
      </c>
      <c r="K508">
        <v>1.65</v>
      </c>
      <c r="L508">
        <v>8.31</v>
      </c>
      <c r="M508">
        <v>8.61</v>
      </c>
      <c r="N508">
        <v>8.3000000000000007</v>
      </c>
      <c r="O508">
        <v>8.33</v>
      </c>
      <c r="P508">
        <v>35.1</v>
      </c>
      <c r="Q508">
        <v>41949864</v>
      </c>
      <c r="R508">
        <v>0.68</v>
      </c>
      <c r="S508" t="s">
        <v>111</v>
      </c>
      <c r="T508" t="s">
        <v>30</v>
      </c>
      <c r="U508">
        <v>3.72</v>
      </c>
      <c r="V508">
        <v>8.51</v>
      </c>
      <c r="W508">
        <v>16952</v>
      </c>
      <c r="X508">
        <v>32345</v>
      </c>
      <c r="Y508">
        <v>0.52</v>
      </c>
      <c r="Z508">
        <v>20</v>
      </c>
      <c r="AA508">
        <v>2</v>
      </c>
      <c r="AB508" t="s">
        <v>31</v>
      </c>
    </row>
    <row r="509" spans="1:28">
      <c r="A509" t="str">
        <f>"600617"</f>
        <v>600617</v>
      </c>
      <c r="B509" t="s">
        <v>668</v>
      </c>
      <c r="C509">
        <v>1.97</v>
      </c>
      <c r="D509">
        <v>17.59</v>
      </c>
      <c r="E509">
        <v>0.34</v>
      </c>
      <c r="F509">
        <v>17.559999999999999</v>
      </c>
      <c r="G509">
        <v>17.600000000000001</v>
      </c>
      <c r="H509">
        <v>5269</v>
      </c>
      <c r="I509">
        <v>200</v>
      </c>
      <c r="J509">
        <v>0.05</v>
      </c>
      <c r="K509">
        <v>0.53</v>
      </c>
      <c r="L509">
        <v>17.32</v>
      </c>
      <c r="M509">
        <v>17.97</v>
      </c>
      <c r="N509">
        <v>17.07</v>
      </c>
      <c r="O509">
        <v>17.25</v>
      </c>
      <c r="P509" t="s">
        <v>31</v>
      </c>
      <c r="Q509">
        <v>9301346</v>
      </c>
      <c r="R509">
        <v>0.67</v>
      </c>
      <c r="S509" t="s">
        <v>97</v>
      </c>
      <c r="T509" t="s">
        <v>30</v>
      </c>
      <c r="U509">
        <v>5.22</v>
      </c>
      <c r="V509">
        <v>17.649999999999999</v>
      </c>
      <c r="W509">
        <v>1729</v>
      </c>
      <c r="X509">
        <v>3540</v>
      </c>
      <c r="Y509">
        <v>0.49</v>
      </c>
      <c r="Z509">
        <v>3</v>
      </c>
      <c r="AA509">
        <v>447</v>
      </c>
      <c r="AB509" t="s">
        <v>31</v>
      </c>
    </row>
    <row r="510" spans="1:28">
      <c r="A510" t="str">
        <f>"600618"</f>
        <v>600618</v>
      </c>
      <c r="B510" t="s">
        <v>669</v>
      </c>
      <c r="C510">
        <v>-0.14000000000000001</v>
      </c>
      <c r="D510">
        <v>7.04</v>
      </c>
      <c r="E510">
        <v>-0.01</v>
      </c>
      <c r="F510">
        <v>7</v>
      </c>
      <c r="G510">
        <v>7.04</v>
      </c>
      <c r="H510">
        <v>53922</v>
      </c>
      <c r="I510">
        <v>30</v>
      </c>
      <c r="J510">
        <v>0.85</v>
      </c>
      <c r="K510">
        <v>0.72</v>
      </c>
      <c r="L510">
        <v>6.93</v>
      </c>
      <c r="M510">
        <v>7.35</v>
      </c>
      <c r="N510">
        <v>6.92</v>
      </c>
      <c r="O510">
        <v>7.05</v>
      </c>
      <c r="P510" t="s">
        <v>31</v>
      </c>
      <c r="Q510">
        <v>38071116</v>
      </c>
      <c r="R510">
        <v>2.08</v>
      </c>
      <c r="S510" t="s">
        <v>137</v>
      </c>
      <c r="T510" t="s">
        <v>30</v>
      </c>
      <c r="U510">
        <v>6.1</v>
      </c>
      <c r="V510">
        <v>7.06</v>
      </c>
      <c r="W510">
        <v>33372</v>
      </c>
      <c r="X510">
        <v>20550</v>
      </c>
      <c r="Y510">
        <v>1.62</v>
      </c>
      <c r="Z510">
        <v>24</v>
      </c>
      <c r="AA510">
        <v>24</v>
      </c>
      <c r="AB510" t="s">
        <v>31</v>
      </c>
    </row>
    <row r="511" spans="1:28">
      <c r="A511" t="str">
        <f>"600619"</f>
        <v>600619</v>
      </c>
      <c r="B511" t="s">
        <v>670</v>
      </c>
      <c r="C511">
        <v>1.8</v>
      </c>
      <c r="D511">
        <v>6.21</v>
      </c>
      <c r="E511">
        <v>0.11</v>
      </c>
      <c r="F511">
        <v>6.2</v>
      </c>
      <c r="G511">
        <v>6.21</v>
      </c>
      <c r="H511">
        <v>10793</v>
      </c>
      <c r="I511">
        <v>42</v>
      </c>
      <c r="J511">
        <v>0</v>
      </c>
      <c r="K511">
        <v>0.34</v>
      </c>
      <c r="L511">
        <v>6.1</v>
      </c>
      <c r="M511">
        <v>6.23</v>
      </c>
      <c r="N511">
        <v>6.02</v>
      </c>
      <c r="O511">
        <v>6.1</v>
      </c>
      <c r="P511">
        <v>44.4</v>
      </c>
      <c r="Q511">
        <v>6628347</v>
      </c>
      <c r="R511">
        <v>0.35</v>
      </c>
      <c r="S511" t="s">
        <v>198</v>
      </c>
      <c r="T511" t="s">
        <v>30</v>
      </c>
      <c r="U511">
        <v>3.44</v>
      </c>
      <c r="V511">
        <v>6.14</v>
      </c>
      <c r="W511">
        <v>5760</v>
      </c>
      <c r="X511">
        <v>5033</v>
      </c>
      <c r="Y511">
        <v>1.1399999999999999</v>
      </c>
      <c r="Z511">
        <v>28</v>
      </c>
      <c r="AA511">
        <v>105</v>
      </c>
      <c r="AB511" t="s">
        <v>31</v>
      </c>
    </row>
    <row r="512" spans="1:28">
      <c r="A512" t="str">
        <f>"600620"</f>
        <v>600620</v>
      </c>
      <c r="B512" t="s">
        <v>671</v>
      </c>
      <c r="C512">
        <v>0.22</v>
      </c>
      <c r="D512">
        <v>9.02</v>
      </c>
      <c r="E512">
        <v>0.02</v>
      </c>
      <c r="F512">
        <v>9.02</v>
      </c>
      <c r="G512">
        <v>9.0299999999999994</v>
      </c>
      <c r="H512">
        <v>101908</v>
      </c>
      <c r="I512">
        <v>86</v>
      </c>
      <c r="J512">
        <v>0</v>
      </c>
      <c r="K512">
        <v>2.23</v>
      </c>
      <c r="L512">
        <v>8.9499999999999993</v>
      </c>
      <c r="M512">
        <v>9.1199999999999992</v>
      </c>
      <c r="N512">
        <v>8.84</v>
      </c>
      <c r="O512">
        <v>9</v>
      </c>
      <c r="P512">
        <v>23.57</v>
      </c>
      <c r="Q512">
        <v>91703784</v>
      </c>
      <c r="R512">
        <v>0.44</v>
      </c>
      <c r="S512" t="s">
        <v>94</v>
      </c>
      <c r="T512" t="s">
        <v>30</v>
      </c>
      <c r="U512">
        <v>3.11</v>
      </c>
      <c r="V512">
        <v>9</v>
      </c>
      <c r="W512">
        <v>55986</v>
      </c>
      <c r="X512">
        <v>45922</v>
      </c>
      <c r="Y512">
        <v>1.22</v>
      </c>
      <c r="Z512">
        <v>302</v>
      </c>
      <c r="AA512">
        <v>229</v>
      </c>
      <c r="AB512" t="s">
        <v>31</v>
      </c>
    </row>
    <row r="513" spans="1:28">
      <c r="A513" t="str">
        <f>"600621"</f>
        <v>600621</v>
      </c>
      <c r="B513" t="s">
        <v>672</v>
      </c>
      <c r="C513">
        <v>0.72</v>
      </c>
      <c r="D513">
        <v>5.6</v>
      </c>
      <c r="E513">
        <v>0.04</v>
      </c>
      <c r="F513">
        <v>5.6</v>
      </c>
      <c r="G513">
        <v>5.62</v>
      </c>
      <c r="H513">
        <v>40668</v>
      </c>
      <c r="I513">
        <v>500</v>
      </c>
      <c r="J513">
        <v>-0.35</v>
      </c>
      <c r="K513">
        <v>0.78</v>
      </c>
      <c r="L513">
        <v>5.53</v>
      </c>
      <c r="M513">
        <v>5.62</v>
      </c>
      <c r="N513">
        <v>5.51</v>
      </c>
      <c r="O513">
        <v>5.56</v>
      </c>
      <c r="P513">
        <v>12.03</v>
      </c>
      <c r="Q513">
        <v>22666132</v>
      </c>
      <c r="R513">
        <v>0.62</v>
      </c>
      <c r="S513" t="s">
        <v>90</v>
      </c>
      <c r="T513" t="s">
        <v>30</v>
      </c>
      <c r="U513">
        <v>1.98</v>
      </c>
      <c r="V513">
        <v>5.57</v>
      </c>
      <c r="W513">
        <v>19866</v>
      </c>
      <c r="X513">
        <v>20802</v>
      </c>
      <c r="Y513">
        <v>0.96</v>
      </c>
      <c r="Z513">
        <v>468</v>
      </c>
      <c r="AA513">
        <v>428</v>
      </c>
      <c r="AB513" t="s">
        <v>31</v>
      </c>
    </row>
    <row r="514" spans="1:28">
      <c r="A514" t="str">
        <f>"600622"</f>
        <v>600622</v>
      </c>
      <c r="B514" t="s">
        <v>673</v>
      </c>
      <c r="C514">
        <v>1.1100000000000001</v>
      </c>
      <c r="D514">
        <v>6.4</v>
      </c>
      <c r="E514">
        <v>7.0000000000000007E-2</v>
      </c>
      <c r="F514">
        <v>6.39</v>
      </c>
      <c r="G514">
        <v>6.4</v>
      </c>
      <c r="H514">
        <v>33497</v>
      </c>
      <c r="I514">
        <v>1</v>
      </c>
      <c r="J514">
        <v>0</v>
      </c>
      <c r="K514">
        <v>0.65</v>
      </c>
      <c r="L514">
        <v>6.34</v>
      </c>
      <c r="M514">
        <v>6.41</v>
      </c>
      <c r="N514">
        <v>6.27</v>
      </c>
      <c r="O514">
        <v>6.33</v>
      </c>
      <c r="P514">
        <v>9.7200000000000006</v>
      </c>
      <c r="Q514">
        <v>21312640</v>
      </c>
      <c r="R514">
        <v>0.74</v>
      </c>
      <c r="S514" t="s">
        <v>94</v>
      </c>
      <c r="T514" t="s">
        <v>30</v>
      </c>
      <c r="U514">
        <v>2.21</v>
      </c>
      <c r="V514">
        <v>6.36</v>
      </c>
      <c r="W514">
        <v>15869</v>
      </c>
      <c r="X514">
        <v>17628</v>
      </c>
      <c r="Y514">
        <v>0.9</v>
      </c>
      <c r="Z514">
        <v>113</v>
      </c>
      <c r="AA514">
        <v>227</v>
      </c>
      <c r="AB514" t="s">
        <v>31</v>
      </c>
    </row>
    <row r="515" spans="1:28">
      <c r="A515" t="str">
        <f>"600623"</f>
        <v>600623</v>
      </c>
      <c r="B515" t="s">
        <v>674</v>
      </c>
      <c r="C515">
        <v>1.2</v>
      </c>
      <c r="D515">
        <v>9.31</v>
      </c>
      <c r="E515">
        <v>0.11</v>
      </c>
      <c r="F515">
        <v>9.27</v>
      </c>
      <c r="G515">
        <v>9.3000000000000007</v>
      </c>
      <c r="H515">
        <v>11070</v>
      </c>
      <c r="I515">
        <v>49</v>
      </c>
      <c r="J515">
        <v>0.43</v>
      </c>
      <c r="K515">
        <v>0.17</v>
      </c>
      <c r="L515">
        <v>9.3800000000000008</v>
      </c>
      <c r="M515">
        <v>9.3800000000000008</v>
      </c>
      <c r="N515">
        <v>9.01</v>
      </c>
      <c r="O515">
        <v>9.1999999999999993</v>
      </c>
      <c r="P515">
        <v>25.48</v>
      </c>
      <c r="Q515">
        <v>10149062</v>
      </c>
      <c r="R515">
        <v>0.65</v>
      </c>
      <c r="S515" t="s">
        <v>149</v>
      </c>
      <c r="T515" t="s">
        <v>30</v>
      </c>
      <c r="U515">
        <v>4.0199999999999996</v>
      </c>
      <c r="V515">
        <v>9.17</v>
      </c>
      <c r="W515">
        <v>6200</v>
      </c>
      <c r="X515">
        <v>4870</v>
      </c>
      <c r="Y515">
        <v>1.27</v>
      </c>
      <c r="Z515">
        <v>47</v>
      </c>
      <c r="AA515">
        <v>155</v>
      </c>
      <c r="AB515" t="s">
        <v>31</v>
      </c>
    </row>
    <row r="516" spans="1:28">
      <c r="A516" t="str">
        <f>"600624"</f>
        <v>600624</v>
      </c>
      <c r="B516" t="s">
        <v>675</v>
      </c>
      <c r="C516">
        <v>1.69</v>
      </c>
      <c r="D516">
        <v>9.0299999999999994</v>
      </c>
      <c r="E516">
        <v>0.15</v>
      </c>
      <c r="F516">
        <v>9.0299999999999994</v>
      </c>
      <c r="G516">
        <v>9.0399999999999991</v>
      </c>
      <c r="H516">
        <v>62913</v>
      </c>
      <c r="I516">
        <v>4</v>
      </c>
      <c r="J516">
        <v>0</v>
      </c>
      <c r="K516">
        <v>1.82</v>
      </c>
      <c r="L516">
        <v>8.8800000000000008</v>
      </c>
      <c r="M516">
        <v>9.0500000000000007</v>
      </c>
      <c r="N516">
        <v>8.7899999999999991</v>
      </c>
      <c r="O516">
        <v>8.8800000000000008</v>
      </c>
      <c r="P516">
        <v>96.99</v>
      </c>
      <c r="Q516">
        <v>56224156</v>
      </c>
      <c r="R516">
        <v>0.56999999999999995</v>
      </c>
      <c r="S516" t="s">
        <v>94</v>
      </c>
      <c r="T516" t="s">
        <v>30</v>
      </c>
      <c r="U516">
        <v>2.93</v>
      </c>
      <c r="V516">
        <v>8.94</v>
      </c>
      <c r="W516">
        <v>33119</v>
      </c>
      <c r="X516">
        <v>29794</v>
      </c>
      <c r="Y516">
        <v>1.1100000000000001</v>
      </c>
      <c r="Z516">
        <v>90</v>
      </c>
      <c r="AA516">
        <v>616</v>
      </c>
      <c r="AB516" t="s">
        <v>31</v>
      </c>
    </row>
    <row r="517" spans="1:28">
      <c r="A517" t="str">
        <f>"600626"</f>
        <v>600626</v>
      </c>
      <c r="B517" t="s">
        <v>676</v>
      </c>
      <c r="C517">
        <v>0.19</v>
      </c>
      <c r="D517">
        <v>5.36</v>
      </c>
      <c r="E517">
        <v>0.01</v>
      </c>
      <c r="F517">
        <v>5.35</v>
      </c>
      <c r="G517">
        <v>5.36</v>
      </c>
      <c r="H517">
        <v>131512</v>
      </c>
      <c r="I517">
        <v>320</v>
      </c>
      <c r="J517">
        <v>0</v>
      </c>
      <c r="K517">
        <v>1.85</v>
      </c>
      <c r="L517">
        <v>5.37</v>
      </c>
      <c r="M517">
        <v>5.38</v>
      </c>
      <c r="N517">
        <v>5.17</v>
      </c>
      <c r="O517">
        <v>5.35</v>
      </c>
      <c r="P517">
        <v>20.440000000000001</v>
      </c>
      <c r="Q517">
        <v>69534048</v>
      </c>
      <c r="R517">
        <v>0.42</v>
      </c>
      <c r="S517" t="s">
        <v>127</v>
      </c>
      <c r="T517" t="s">
        <v>30</v>
      </c>
      <c r="U517">
        <v>3.93</v>
      </c>
      <c r="V517">
        <v>5.29</v>
      </c>
      <c r="W517">
        <v>66720</v>
      </c>
      <c r="X517">
        <v>64792</v>
      </c>
      <c r="Y517">
        <v>1.03</v>
      </c>
      <c r="Z517">
        <v>1430</v>
      </c>
      <c r="AA517">
        <v>444</v>
      </c>
      <c r="AB517" t="s">
        <v>31</v>
      </c>
    </row>
    <row r="518" spans="1:28">
      <c r="A518" t="str">
        <f>"600628"</f>
        <v>600628</v>
      </c>
      <c r="B518" t="s">
        <v>677</v>
      </c>
      <c r="C518">
        <v>1.59</v>
      </c>
      <c r="D518">
        <v>8.2899999999999991</v>
      </c>
      <c r="E518">
        <v>0.13</v>
      </c>
      <c r="F518">
        <v>8.2799999999999994</v>
      </c>
      <c r="G518">
        <v>8.2899999999999991</v>
      </c>
      <c r="H518">
        <v>131843</v>
      </c>
      <c r="I518">
        <v>40</v>
      </c>
      <c r="J518">
        <v>0</v>
      </c>
      <c r="K518">
        <v>3.31</v>
      </c>
      <c r="L518">
        <v>8.0399999999999991</v>
      </c>
      <c r="M518">
        <v>8.35</v>
      </c>
      <c r="N518">
        <v>7.97</v>
      </c>
      <c r="O518">
        <v>8.16</v>
      </c>
      <c r="P518">
        <v>20.41</v>
      </c>
      <c r="Q518">
        <v>107124472</v>
      </c>
      <c r="R518">
        <v>0.3</v>
      </c>
      <c r="S518" t="s">
        <v>374</v>
      </c>
      <c r="T518" t="s">
        <v>30</v>
      </c>
      <c r="U518">
        <v>4.66</v>
      </c>
      <c r="V518">
        <v>8.1300000000000008</v>
      </c>
      <c r="W518">
        <v>68999</v>
      </c>
      <c r="X518">
        <v>62844</v>
      </c>
      <c r="Y518">
        <v>1.1000000000000001</v>
      </c>
      <c r="Z518">
        <v>174</v>
      </c>
      <c r="AA518">
        <v>269</v>
      </c>
      <c r="AB518" t="s">
        <v>31</v>
      </c>
    </row>
    <row r="519" spans="1:28">
      <c r="A519" t="str">
        <f>"600629"</f>
        <v>600629</v>
      </c>
      <c r="B519" t="s">
        <v>678</v>
      </c>
      <c r="C519">
        <v>0.13</v>
      </c>
      <c r="D519">
        <v>7.97</v>
      </c>
      <c r="E519">
        <v>0.01</v>
      </c>
      <c r="F519">
        <v>7.97</v>
      </c>
      <c r="G519">
        <v>7.98</v>
      </c>
      <c r="H519">
        <v>9642</v>
      </c>
      <c r="I519">
        <v>20</v>
      </c>
      <c r="J519">
        <v>0.12</v>
      </c>
      <c r="K519">
        <v>0.28000000000000003</v>
      </c>
      <c r="L519">
        <v>7.97</v>
      </c>
      <c r="M519">
        <v>8.0299999999999994</v>
      </c>
      <c r="N519">
        <v>7.85</v>
      </c>
      <c r="O519">
        <v>7.96</v>
      </c>
      <c r="P519">
        <v>118.32</v>
      </c>
      <c r="Q519">
        <v>7633295</v>
      </c>
      <c r="R519">
        <v>0.84</v>
      </c>
      <c r="S519" t="s">
        <v>268</v>
      </c>
      <c r="T519" t="s">
        <v>30</v>
      </c>
      <c r="U519">
        <v>2.2599999999999998</v>
      </c>
      <c r="V519">
        <v>7.92</v>
      </c>
      <c r="W519">
        <v>5905</v>
      </c>
      <c r="X519">
        <v>3737</v>
      </c>
      <c r="Y519">
        <v>1.58</v>
      </c>
      <c r="Z519">
        <v>100</v>
      </c>
      <c r="AA519">
        <v>84</v>
      </c>
      <c r="AB519" t="s">
        <v>31</v>
      </c>
    </row>
    <row r="520" spans="1:28">
      <c r="A520" t="str">
        <f>"600630"</f>
        <v>600630</v>
      </c>
      <c r="B520" t="s">
        <v>679</v>
      </c>
      <c r="C520">
        <v>1.01</v>
      </c>
      <c r="D520">
        <v>6.98</v>
      </c>
      <c r="E520">
        <v>7.0000000000000007E-2</v>
      </c>
      <c r="F520">
        <v>6.98</v>
      </c>
      <c r="G520">
        <v>6.99</v>
      </c>
      <c r="H520">
        <v>71171</v>
      </c>
      <c r="I520">
        <v>35</v>
      </c>
      <c r="J520">
        <v>0</v>
      </c>
      <c r="K520">
        <v>1.68</v>
      </c>
      <c r="L520">
        <v>6.95</v>
      </c>
      <c r="M520">
        <v>6.99</v>
      </c>
      <c r="N520">
        <v>6.74</v>
      </c>
      <c r="O520">
        <v>6.91</v>
      </c>
      <c r="P520">
        <v>59.81</v>
      </c>
      <c r="Q520">
        <v>48981808</v>
      </c>
      <c r="R520">
        <v>0.49</v>
      </c>
      <c r="S520" t="s">
        <v>127</v>
      </c>
      <c r="T520" t="s">
        <v>30</v>
      </c>
      <c r="U520">
        <v>3.62</v>
      </c>
      <c r="V520">
        <v>6.88</v>
      </c>
      <c r="W520">
        <v>41405</v>
      </c>
      <c r="X520">
        <v>29766</v>
      </c>
      <c r="Y520">
        <v>1.39</v>
      </c>
      <c r="Z520">
        <v>76</v>
      </c>
      <c r="AA520">
        <v>825</v>
      </c>
      <c r="AB520" t="s">
        <v>31</v>
      </c>
    </row>
    <row r="521" spans="1:28">
      <c r="A521" t="str">
        <f>"600633"</f>
        <v>600633</v>
      </c>
      <c r="B521" t="s">
        <v>680</v>
      </c>
      <c r="C521">
        <v>8.69</v>
      </c>
      <c r="D521">
        <v>34.659999999999997</v>
      </c>
      <c r="E521">
        <v>2.77</v>
      </c>
      <c r="F521">
        <v>34.659999999999997</v>
      </c>
      <c r="G521">
        <v>34.67</v>
      </c>
      <c r="H521">
        <v>168186</v>
      </c>
      <c r="I521">
        <v>54</v>
      </c>
      <c r="J521">
        <v>1.19</v>
      </c>
      <c r="K521">
        <v>11.06</v>
      </c>
      <c r="L521">
        <v>32.24</v>
      </c>
      <c r="M521">
        <v>35.08</v>
      </c>
      <c r="N521">
        <v>31.95</v>
      </c>
      <c r="O521">
        <v>31.89</v>
      </c>
      <c r="P521">
        <v>58.39</v>
      </c>
      <c r="Q521">
        <v>574048000</v>
      </c>
      <c r="R521">
        <v>2.33</v>
      </c>
      <c r="S521" t="s">
        <v>466</v>
      </c>
      <c r="T521" t="s">
        <v>30</v>
      </c>
      <c r="U521">
        <v>9.81</v>
      </c>
      <c r="V521">
        <v>34.130000000000003</v>
      </c>
      <c r="W521">
        <v>89304</v>
      </c>
      <c r="X521">
        <v>78882</v>
      </c>
      <c r="Y521">
        <v>1.1299999999999999</v>
      </c>
      <c r="Z521">
        <v>399</v>
      </c>
      <c r="AA521">
        <v>324</v>
      </c>
      <c r="AB521" t="s">
        <v>31</v>
      </c>
    </row>
    <row r="522" spans="1:28">
      <c r="A522" t="str">
        <f>"600634"</f>
        <v>600634</v>
      </c>
      <c r="B522" t="s">
        <v>681</v>
      </c>
      <c r="C522">
        <v>0</v>
      </c>
      <c r="D522">
        <v>12.14</v>
      </c>
      <c r="E522">
        <v>0</v>
      </c>
      <c r="F522" t="s">
        <v>31</v>
      </c>
      <c r="G522" t="s">
        <v>31</v>
      </c>
      <c r="H522">
        <v>0</v>
      </c>
      <c r="I522">
        <v>0</v>
      </c>
      <c r="J522">
        <v>0</v>
      </c>
      <c r="K522">
        <v>0</v>
      </c>
      <c r="L522" t="s">
        <v>31</v>
      </c>
      <c r="M522" t="s">
        <v>31</v>
      </c>
      <c r="N522" t="s">
        <v>31</v>
      </c>
      <c r="O522">
        <v>12.14</v>
      </c>
      <c r="P522" t="s">
        <v>31</v>
      </c>
      <c r="Q522">
        <v>0</v>
      </c>
      <c r="R522">
        <v>0</v>
      </c>
      <c r="S522" t="s">
        <v>682</v>
      </c>
      <c r="T522" t="s">
        <v>30</v>
      </c>
      <c r="U522">
        <v>0</v>
      </c>
      <c r="V522">
        <v>12.14</v>
      </c>
      <c r="W522">
        <v>0</v>
      </c>
      <c r="X522">
        <v>0</v>
      </c>
      <c r="Y522" t="s">
        <v>31</v>
      </c>
      <c r="Z522">
        <v>0</v>
      </c>
      <c r="AA522">
        <v>0</v>
      </c>
      <c r="AB522" t="s">
        <v>31</v>
      </c>
    </row>
    <row r="523" spans="1:28">
      <c r="A523" t="str">
        <f>"600635"</f>
        <v>600635</v>
      </c>
      <c r="B523" t="s">
        <v>683</v>
      </c>
      <c r="C523">
        <v>0.8</v>
      </c>
      <c r="D523">
        <v>5.0199999999999996</v>
      </c>
      <c r="E523">
        <v>0.04</v>
      </c>
      <c r="F523">
        <v>5.01</v>
      </c>
      <c r="G523">
        <v>5.0199999999999996</v>
      </c>
      <c r="H523">
        <v>146089</v>
      </c>
      <c r="I523">
        <v>10</v>
      </c>
      <c r="J523">
        <v>0.19</v>
      </c>
      <c r="K523">
        <v>0.89</v>
      </c>
      <c r="L523">
        <v>4.9000000000000004</v>
      </c>
      <c r="M523">
        <v>5.04</v>
      </c>
      <c r="N523">
        <v>4.87</v>
      </c>
      <c r="O523">
        <v>4.9800000000000004</v>
      </c>
      <c r="P523">
        <v>31.65</v>
      </c>
      <c r="Q523">
        <v>72667120</v>
      </c>
      <c r="R523">
        <v>0.62</v>
      </c>
      <c r="S523" t="s">
        <v>257</v>
      </c>
      <c r="T523" t="s">
        <v>30</v>
      </c>
      <c r="U523">
        <v>3.41</v>
      </c>
      <c r="V523">
        <v>4.97</v>
      </c>
      <c r="W523">
        <v>68563</v>
      </c>
      <c r="X523">
        <v>77526</v>
      </c>
      <c r="Y523">
        <v>0.88</v>
      </c>
      <c r="Z523">
        <v>535</v>
      </c>
      <c r="AA523">
        <v>562</v>
      </c>
      <c r="AB523" t="s">
        <v>31</v>
      </c>
    </row>
    <row r="524" spans="1:28">
      <c r="A524" t="str">
        <f>"600636"</f>
        <v>600636</v>
      </c>
      <c r="B524" t="s">
        <v>684</v>
      </c>
      <c r="C524">
        <v>1.1000000000000001</v>
      </c>
      <c r="D524">
        <v>11.03</v>
      </c>
      <c r="E524">
        <v>0.12</v>
      </c>
      <c r="F524">
        <v>11.02</v>
      </c>
      <c r="G524">
        <v>11.03</v>
      </c>
      <c r="H524">
        <v>40305</v>
      </c>
      <c r="I524">
        <v>59</v>
      </c>
      <c r="J524">
        <v>-0.18</v>
      </c>
      <c r="K524">
        <v>1.06</v>
      </c>
      <c r="L524">
        <v>10.94</v>
      </c>
      <c r="M524">
        <v>11.19</v>
      </c>
      <c r="N524">
        <v>10.75</v>
      </c>
      <c r="O524">
        <v>10.91</v>
      </c>
      <c r="P524">
        <v>27.91</v>
      </c>
      <c r="Q524">
        <v>44088464</v>
      </c>
      <c r="R524">
        <v>0.78</v>
      </c>
      <c r="S524" t="s">
        <v>137</v>
      </c>
      <c r="T524" t="s">
        <v>30</v>
      </c>
      <c r="U524">
        <v>4.03</v>
      </c>
      <c r="V524">
        <v>10.94</v>
      </c>
      <c r="W524">
        <v>18003</v>
      </c>
      <c r="X524">
        <v>22302</v>
      </c>
      <c r="Y524">
        <v>0.81</v>
      </c>
      <c r="Z524">
        <v>125</v>
      </c>
      <c r="AA524">
        <v>45</v>
      </c>
      <c r="AB524" t="s">
        <v>31</v>
      </c>
    </row>
    <row r="525" spans="1:28">
      <c r="A525" t="str">
        <f>"600637"</f>
        <v>600637</v>
      </c>
      <c r="B525" t="s">
        <v>685</v>
      </c>
      <c r="C525">
        <v>0.54</v>
      </c>
      <c r="D525">
        <v>38.99</v>
      </c>
      <c r="E525">
        <v>0.21</v>
      </c>
      <c r="F525">
        <v>39.01</v>
      </c>
      <c r="G525">
        <v>39.020000000000003</v>
      </c>
      <c r="H525">
        <v>218737</v>
      </c>
      <c r="I525">
        <v>1</v>
      </c>
      <c r="J525">
        <v>0.02</v>
      </c>
      <c r="K525">
        <v>2.62</v>
      </c>
      <c r="L525">
        <v>38.1</v>
      </c>
      <c r="M525">
        <v>40.5</v>
      </c>
      <c r="N525">
        <v>38</v>
      </c>
      <c r="O525">
        <v>38.78</v>
      </c>
      <c r="P525">
        <v>65.38</v>
      </c>
      <c r="Q525">
        <v>863079424</v>
      </c>
      <c r="R525">
        <v>1.32</v>
      </c>
      <c r="S525" t="s">
        <v>82</v>
      </c>
      <c r="T525" t="s">
        <v>30</v>
      </c>
      <c r="U525">
        <v>6.45</v>
      </c>
      <c r="V525">
        <v>39.46</v>
      </c>
      <c r="W525">
        <v>105988</v>
      </c>
      <c r="X525">
        <v>112749</v>
      </c>
      <c r="Y525">
        <v>0.94</v>
      </c>
      <c r="Z525">
        <v>99</v>
      </c>
      <c r="AA525">
        <v>5</v>
      </c>
      <c r="AB525" t="s">
        <v>31</v>
      </c>
    </row>
    <row r="526" spans="1:28">
      <c r="A526" t="str">
        <f>"600638"</f>
        <v>600638</v>
      </c>
      <c r="B526" t="s">
        <v>686</v>
      </c>
      <c r="C526">
        <v>-2.2599999999999998</v>
      </c>
      <c r="D526">
        <v>13</v>
      </c>
      <c r="E526">
        <v>-0.3</v>
      </c>
      <c r="F526">
        <v>12.96</v>
      </c>
      <c r="G526">
        <v>12.98</v>
      </c>
      <c r="H526">
        <v>41071</v>
      </c>
      <c r="I526">
        <v>6</v>
      </c>
      <c r="J526">
        <v>0.54</v>
      </c>
      <c r="K526">
        <v>0.73</v>
      </c>
      <c r="L526">
        <v>13.17</v>
      </c>
      <c r="M526">
        <v>13.31</v>
      </c>
      <c r="N526">
        <v>12.8</v>
      </c>
      <c r="O526">
        <v>13.3</v>
      </c>
      <c r="P526">
        <v>36.5</v>
      </c>
      <c r="Q526">
        <v>53488600</v>
      </c>
      <c r="R526">
        <v>1.1599999999999999</v>
      </c>
      <c r="S526" t="s">
        <v>97</v>
      </c>
      <c r="T526" t="s">
        <v>30</v>
      </c>
      <c r="U526">
        <v>3.83</v>
      </c>
      <c r="V526">
        <v>13.02</v>
      </c>
      <c r="W526">
        <v>25385</v>
      </c>
      <c r="X526">
        <v>15686</v>
      </c>
      <c r="Y526">
        <v>1.62</v>
      </c>
      <c r="Z526">
        <v>93</v>
      </c>
      <c r="AA526">
        <v>20</v>
      </c>
      <c r="AB526" t="s">
        <v>31</v>
      </c>
    </row>
    <row r="527" spans="1:28">
      <c r="A527" t="str">
        <f>"600639"</f>
        <v>600639</v>
      </c>
      <c r="B527" t="s">
        <v>687</v>
      </c>
      <c r="C527">
        <v>-1.38</v>
      </c>
      <c r="D527">
        <v>11.44</v>
      </c>
      <c r="E527">
        <v>-0.16</v>
      </c>
      <c r="F527">
        <v>11.45</v>
      </c>
      <c r="G527">
        <v>11.46</v>
      </c>
      <c r="H527">
        <v>100360</v>
      </c>
      <c r="I527">
        <v>184</v>
      </c>
      <c r="J527">
        <v>-0.08</v>
      </c>
      <c r="K527">
        <v>1.53</v>
      </c>
      <c r="L527">
        <v>11.49</v>
      </c>
      <c r="M527">
        <v>11.59</v>
      </c>
      <c r="N527">
        <v>11.11</v>
      </c>
      <c r="O527">
        <v>11.6</v>
      </c>
      <c r="P527">
        <v>26.94</v>
      </c>
      <c r="Q527">
        <v>114447968</v>
      </c>
      <c r="R527">
        <v>0.72</v>
      </c>
      <c r="S527" t="s">
        <v>41</v>
      </c>
      <c r="T527" t="s">
        <v>30</v>
      </c>
      <c r="U527">
        <v>4.1399999999999997</v>
      </c>
      <c r="V527">
        <v>11.4</v>
      </c>
      <c r="W527">
        <v>57448</v>
      </c>
      <c r="X527">
        <v>42912</v>
      </c>
      <c r="Y527">
        <v>1.34</v>
      </c>
      <c r="Z527">
        <v>4</v>
      </c>
      <c r="AA527">
        <v>444</v>
      </c>
      <c r="AB527" t="s">
        <v>31</v>
      </c>
    </row>
    <row r="528" spans="1:28">
      <c r="A528" t="str">
        <f>"600640"</f>
        <v>600640</v>
      </c>
      <c r="B528" t="s">
        <v>688</v>
      </c>
      <c r="C528">
        <v>-2.0699999999999998</v>
      </c>
      <c r="D528">
        <v>20.85</v>
      </c>
      <c r="E528">
        <v>-0.44</v>
      </c>
      <c r="F528">
        <v>20.84</v>
      </c>
      <c r="G528">
        <v>20.85</v>
      </c>
      <c r="H528">
        <v>248762</v>
      </c>
      <c r="I528">
        <v>36</v>
      </c>
      <c r="J528">
        <v>-0.33</v>
      </c>
      <c r="K528">
        <v>12.05</v>
      </c>
      <c r="L528">
        <v>21</v>
      </c>
      <c r="M528">
        <v>21.75</v>
      </c>
      <c r="N528">
        <v>20.41</v>
      </c>
      <c r="O528">
        <v>21.29</v>
      </c>
      <c r="P528">
        <v>115.36</v>
      </c>
      <c r="Q528">
        <v>522210208</v>
      </c>
      <c r="R528">
        <v>1.21</v>
      </c>
      <c r="S528" t="s">
        <v>354</v>
      </c>
      <c r="T528" t="s">
        <v>30</v>
      </c>
      <c r="U528">
        <v>6.29</v>
      </c>
      <c r="V528">
        <v>20.99</v>
      </c>
      <c r="W528">
        <v>122749</v>
      </c>
      <c r="X528">
        <v>126013</v>
      </c>
      <c r="Y528">
        <v>0.97</v>
      </c>
      <c r="Z528">
        <v>144</v>
      </c>
      <c r="AA528">
        <v>63</v>
      </c>
      <c r="AB528" t="s">
        <v>31</v>
      </c>
    </row>
    <row r="529" spans="1:28">
      <c r="A529" t="str">
        <f>"600641"</f>
        <v>600641</v>
      </c>
      <c r="B529" t="s">
        <v>689</v>
      </c>
      <c r="C529">
        <v>2.3199999999999998</v>
      </c>
      <c r="D529">
        <v>4.41</v>
      </c>
      <c r="E529">
        <v>0.1</v>
      </c>
      <c r="F529">
        <v>4.41</v>
      </c>
      <c r="G529">
        <v>4.42</v>
      </c>
      <c r="H529">
        <v>48023</v>
      </c>
      <c r="I529">
        <v>54</v>
      </c>
      <c r="J529">
        <v>0</v>
      </c>
      <c r="K529">
        <v>0.6</v>
      </c>
      <c r="L529">
        <v>4.26</v>
      </c>
      <c r="M529">
        <v>4.42</v>
      </c>
      <c r="N529">
        <v>4.24</v>
      </c>
      <c r="O529">
        <v>4.3099999999999996</v>
      </c>
      <c r="P529">
        <v>33.299999999999997</v>
      </c>
      <c r="Q529">
        <v>20781858</v>
      </c>
      <c r="R529">
        <v>0.79</v>
      </c>
      <c r="S529" t="s">
        <v>97</v>
      </c>
      <c r="T529" t="s">
        <v>30</v>
      </c>
      <c r="U529">
        <v>4.18</v>
      </c>
      <c r="V529">
        <v>4.33</v>
      </c>
      <c r="W529">
        <v>23173</v>
      </c>
      <c r="X529">
        <v>24850</v>
      </c>
      <c r="Y529">
        <v>0.93</v>
      </c>
      <c r="Z529">
        <v>270</v>
      </c>
      <c r="AA529">
        <v>454</v>
      </c>
      <c r="AB529" t="s">
        <v>31</v>
      </c>
    </row>
    <row r="530" spans="1:28">
      <c r="A530" t="str">
        <f>"600642"</f>
        <v>600642</v>
      </c>
      <c r="B530" t="s">
        <v>690</v>
      </c>
      <c r="C530">
        <v>2.88</v>
      </c>
      <c r="D530">
        <v>4.6500000000000004</v>
      </c>
      <c r="E530">
        <v>0.13</v>
      </c>
      <c r="F530">
        <v>4.6399999999999997</v>
      </c>
      <c r="G530">
        <v>4.6500000000000004</v>
      </c>
      <c r="H530">
        <v>441135</v>
      </c>
      <c r="I530">
        <v>1</v>
      </c>
      <c r="J530">
        <v>0.21</v>
      </c>
      <c r="K530">
        <v>0.97</v>
      </c>
      <c r="L530">
        <v>4.53</v>
      </c>
      <c r="M530">
        <v>4.7300000000000004</v>
      </c>
      <c r="N530">
        <v>4.5</v>
      </c>
      <c r="O530">
        <v>4.5199999999999996</v>
      </c>
      <c r="P530">
        <v>8.57</v>
      </c>
      <c r="Q530">
        <v>205295520</v>
      </c>
      <c r="R530">
        <v>2.2999999999999998</v>
      </c>
      <c r="S530" t="s">
        <v>49</v>
      </c>
      <c r="T530" t="s">
        <v>30</v>
      </c>
      <c r="U530">
        <v>5.09</v>
      </c>
      <c r="V530">
        <v>4.6500000000000004</v>
      </c>
      <c r="W530">
        <v>214251</v>
      </c>
      <c r="X530">
        <v>226884</v>
      </c>
      <c r="Y530">
        <v>0.94</v>
      </c>
      <c r="Z530">
        <v>848</v>
      </c>
      <c r="AA530">
        <v>2087</v>
      </c>
      <c r="AB530" t="s">
        <v>31</v>
      </c>
    </row>
    <row r="531" spans="1:28">
      <c r="A531" t="str">
        <f>"600643"</f>
        <v>600643</v>
      </c>
      <c r="B531" t="s">
        <v>691</v>
      </c>
      <c r="C531">
        <v>-1.82</v>
      </c>
      <c r="D531">
        <v>11.89</v>
      </c>
      <c r="E531">
        <v>-0.22</v>
      </c>
      <c r="F531">
        <v>11.89</v>
      </c>
      <c r="G531">
        <v>11.9</v>
      </c>
      <c r="H531">
        <v>415343</v>
      </c>
      <c r="I531">
        <v>130</v>
      </c>
      <c r="J531">
        <v>-0.08</v>
      </c>
      <c r="K531">
        <v>5.08</v>
      </c>
      <c r="L531">
        <v>11.9</v>
      </c>
      <c r="M531">
        <v>12.17</v>
      </c>
      <c r="N531">
        <v>11.71</v>
      </c>
      <c r="O531">
        <v>12.11</v>
      </c>
      <c r="P531">
        <v>33.14</v>
      </c>
      <c r="Q531">
        <v>495014336</v>
      </c>
      <c r="R531">
        <v>0.97</v>
      </c>
      <c r="S531" t="s">
        <v>692</v>
      </c>
      <c r="T531" t="s">
        <v>30</v>
      </c>
      <c r="U531">
        <v>3.8</v>
      </c>
      <c r="V531">
        <v>11.92</v>
      </c>
      <c r="W531">
        <v>211093</v>
      </c>
      <c r="X531">
        <v>204250</v>
      </c>
      <c r="Y531">
        <v>1.03</v>
      </c>
      <c r="Z531">
        <v>165</v>
      </c>
      <c r="AA531">
        <v>191</v>
      </c>
      <c r="AB531" t="s">
        <v>31</v>
      </c>
    </row>
    <row r="532" spans="1:28">
      <c r="A532" t="str">
        <f>"600644"</f>
        <v>600644</v>
      </c>
      <c r="B532" t="s">
        <v>693</v>
      </c>
      <c r="C532">
        <v>3</v>
      </c>
      <c r="D532">
        <v>8.23</v>
      </c>
      <c r="E532">
        <v>0.24</v>
      </c>
      <c r="F532">
        <v>8.23</v>
      </c>
      <c r="G532">
        <v>8.24</v>
      </c>
      <c r="H532">
        <v>33635</v>
      </c>
      <c r="I532">
        <v>10</v>
      </c>
      <c r="J532">
        <v>0.24</v>
      </c>
      <c r="K532">
        <v>1.03</v>
      </c>
      <c r="L532">
        <v>8.01</v>
      </c>
      <c r="M532">
        <v>8.34</v>
      </c>
      <c r="N532">
        <v>7.89</v>
      </c>
      <c r="O532">
        <v>7.99</v>
      </c>
      <c r="P532">
        <v>126.49</v>
      </c>
      <c r="Q532">
        <v>27619576</v>
      </c>
      <c r="R532">
        <v>0.92</v>
      </c>
      <c r="S532" t="s">
        <v>179</v>
      </c>
      <c r="T532" t="s">
        <v>88</v>
      </c>
      <c r="U532">
        <v>5.63</v>
      </c>
      <c r="V532">
        <v>8.2100000000000009</v>
      </c>
      <c r="W532">
        <v>17350</v>
      </c>
      <c r="X532">
        <v>16285</v>
      </c>
      <c r="Y532">
        <v>1.07</v>
      </c>
      <c r="Z532">
        <v>27</v>
      </c>
      <c r="AA532">
        <v>10</v>
      </c>
      <c r="AB532" t="s">
        <v>31</v>
      </c>
    </row>
    <row r="533" spans="1:28">
      <c r="A533" t="str">
        <f>"600645"</f>
        <v>600645</v>
      </c>
      <c r="B533" t="s">
        <v>694</v>
      </c>
      <c r="C533">
        <v>4.3600000000000003</v>
      </c>
      <c r="D533">
        <v>27.29</v>
      </c>
      <c r="E533">
        <v>1.1399999999999999</v>
      </c>
      <c r="F533">
        <v>27.26</v>
      </c>
      <c r="G533">
        <v>27.28</v>
      </c>
      <c r="H533">
        <v>103374</v>
      </c>
      <c r="I533">
        <v>12</v>
      </c>
      <c r="J533">
        <v>0.33</v>
      </c>
      <c r="K533">
        <v>3.18</v>
      </c>
      <c r="L533">
        <v>25.97</v>
      </c>
      <c r="M533">
        <v>28.77</v>
      </c>
      <c r="N533">
        <v>23.54</v>
      </c>
      <c r="O533">
        <v>26.15</v>
      </c>
      <c r="P533" t="s">
        <v>31</v>
      </c>
      <c r="Q533">
        <v>259705072</v>
      </c>
      <c r="R533">
        <v>3.17</v>
      </c>
      <c r="S533" t="s">
        <v>145</v>
      </c>
      <c r="T533" t="s">
        <v>151</v>
      </c>
      <c r="U533">
        <v>20</v>
      </c>
      <c r="V533">
        <v>25.12</v>
      </c>
      <c r="W533">
        <v>48737</v>
      </c>
      <c r="X533">
        <v>54637</v>
      </c>
      <c r="Y533">
        <v>0.89</v>
      </c>
      <c r="Z533">
        <v>4</v>
      </c>
      <c r="AA533">
        <v>21</v>
      </c>
      <c r="AB533" t="s">
        <v>31</v>
      </c>
    </row>
    <row r="534" spans="1:28">
      <c r="A534" t="str">
        <f>"600647"</f>
        <v>600647</v>
      </c>
      <c r="B534" t="s">
        <v>695</v>
      </c>
      <c r="C534">
        <v>0.67</v>
      </c>
      <c r="D534">
        <v>12</v>
      </c>
      <c r="E534">
        <v>0.08</v>
      </c>
      <c r="F534">
        <v>11.98</v>
      </c>
      <c r="G534">
        <v>12.02</v>
      </c>
      <c r="H534">
        <v>9634</v>
      </c>
      <c r="I534">
        <v>1</v>
      </c>
      <c r="J534">
        <v>-0.24</v>
      </c>
      <c r="K534">
        <v>0.69</v>
      </c>
      <c r="L534">
        <v>11.86</v>
      </c>
      <c r="M534">
        <v>12.06</v>
      </c>
      <c r="N534">
        <v>11.75</v>
      </c>
      <c r="O534">
        <v>11.92</v>
      </c>
      <c r="P534">
        <v>106.97</v>
      </c>
      <c r="Q534">
        <v>11513674</v>
      </c>
      <c r="R534">
        <v>0.62</v>
      </c>
      <c r="S534" t="s">
        <v>94</v>
      </c>
      <c r="T534" t="s">
        <v>30</v>
      </c>
      <c r="U534">
        <v>2.6</v>
      </c>
      <c r="V534">
        <v>11.95</v>
      </c>
      <c r="W534">
        <v>4392</v>
      </c>
      <c r="X534">
        <v>5242</v>
      </c>
      <c r="Y534">
        <v>0.84</v>
      </c>
      <c r="Z534">
        <v>38</v>
      </c>
      <c r="AA534">
        <v>27</v>
      </c>
      <c r="AB534" t="s">
        <v>31</v>
      </c>
    </row>
    <row r="535" spans="1:28">
      <c r="A535" t="str">
        <f>"600648"</f>
        <v>600648</v>
      </c>
      <c r="B535" t="s">
        <v>696</v>
      </c>
      <c r="C535">
        <v>-2.25</v>
      </c>
      <c r="D535">
        <v>39.450000000000003</v>
      </c>
      <c r="E535">
        <v>-0.91</v>
      </c>
      <c r="F535">
        <v>39.44</v>
      </c>
      <c r="G535">
        <v>39.450000000000003</v>
      </c>
      <c r="H535">
        <v>141334</v>
      </c>
      <c r="I535">
        <v>13</v>
      </c>
      <c r="J535">
        <v>0.17</v>
      </c>
      <c r="K535">
        <v>1.74</v>
      </c>
      <c r="L535">
        <v>39.53</v>
      </c>
      <c r="M535">
        <v>39.979999999999997</v>
      </c>
      <c r="N535">
        <v>38.799999999999997</v>
      </c>
      <c r="O535">
        <v>40.36</v>
      </c>
      <c r="P535">
        <v>37.869999999999997</v>
      </c>
      <c r="Q535">
        <v>556567872</v>
      </c>
      <c r="R535">
        <v>0.66</v>
      </c>
      <c r="S535" t="s">
        <v>41</v>
      </c>
      <c r="T535" t="s">
        <v>30</v>
      </c>
      <c r="U535">
        <v>2.92</v>
      </c>
      <c r="V535">
        <v>39.380000000000003</v>
      </c>
      <c r="W535">
        <v>69740</v>
      </c>
      <c r="X535">
        <v>71594</v>
      </c>
      <c r="Y535">
        <v>0.97</v>
      </c>
      <c r="Z535">
        <v>8</v>
      </c>
      <c r="AA535">
        <v>46</v>
      </c>
      <c r="AB535" t="s">
        <v>31</v>
      </c>
    </row>
    <row r="536" spans="1:28">
      <c r="A536" t="str">
        <f>"600649"</f>
        <v>600649</v>
      </c>
      <c r="B536" t="s">
        <v>697</v>
      </c>
      <c r="C536">
        <v>6.62</v>
      </c>
      <c r="D536">
        <v>8.6999999999999993</v>
      </c>
      <c r="E536">
        <v>0.54</v>
      </c>
      <c r="F536">
        <v>8.69</v>
      </c>
      <c r="G536">
        <v>8.6999999999999993</v>
      </c>
      <c r="H536">
        <v>236753</v>
      </c>
      <c r="I536">
        <v>40</v>
      </c>
      <c r="J536">
        <v>-0.11</v>
      </c>
      <c r="K536">
        <v>0.79</v>
      </c>
      <c r="L536">
        <v>8.17</v>
      </c>
      <c r="M536">
        <v>8.7200000000000006</v>
      </c>
      <c r="N536">
        <v>8.06</v>
      </c>
      <c r="O536">
        <v>8.16</v>
      </c>
      <c r="P536">
        <v>17.73</v>
      </c>
      <c r="Q536">
        <v>201222368</v>
      </c>
      <c r="R536">
        <v>0.98</v>
      </c>
      <c r="S536" t="s">
        <v>259</v>
      </c>
      <c r="T536" t="s">
        <v>30</v>
      </c>
      <c r="U536">
        <v>8.09</v>
      </c>
      <c r="V536">
        <v>8.5</v>
      </c>
      <c r="W536">
        <v>110721</v>
      </c>
      <c r="X536">
        <v>126032</v>
      </c>
      <c r="Y536">
        <v>0.88</v>
      </c>
      <c r="Z536">
        <v>154</v>
      </c>
      <c r="AA536">
        <v>839</v>
      </c>
      <c r="AB536" t="s">
        <v>31</v>
      </c>
    </row>
    <row r="537" spans="1:28">
      <c r="A537" t="str">
        <f>"600650"</f>
        <v>600650</v>
      </c>
      <c r="B537" t="s">
        <v>698</v>
      </c>
      <c r="C537">
        <v>-0.1</v>
      </c>
      <c r="D537">
        <v>9.99</v>
      </c>
      <c r="E537">
        <v>-0.01</v>
      </c>
      <c r="F537">
        <v>9.99</v>
      </c>
      <c r="G537">
        <v>10</v>
      </c>
      <c r="H537">
        <v>42701</v>
      </c>
      <c r="I537">
        <v>201</v>
      </c>
      <c r="J537">
        <v>0.3</v>
      </c>
      <c r="K537">
        <v>1.0900000000000001</v>
      </c>
      <c r="L537">
        <v>9.91</v>
      </c>
      <c r="M537">
        <v>10.07</v>
      </c>
      <c r="N537">
        <v>9.66</v>
      </c>
      <c r="O537">
        <v>10</v>
      </c>
      <c r="P537">
        <v>28.97</v>
      </c>
      <c r="Q537">
        <v>42218304</v>
      </c>
      <c r="R537">
        <v>0.71</v>
      </c>
      <c r="S537" t="s">
        <v>477</v>
      </c>
      <c r="T537" t="s">
        <v>30</v>
      </c>
      <c r="U537">
        <v>4.0999999999999996</v>
      </c>
      <c r="V537">
        <v>9.89</v>
      </c>
      <c r="W537">
        <v>22012</v>
      </c>
      <c r="X537">
        <v>20689</v>
      </c>
      <c r="Y537">
        <v>1.06</v>
      </c>
      <c r="Z537">
        <v>559</v>
      </c>
      <c r="AA537">
        <v>292</v>
      </c>
      <c r="AB537" t="s">
        <v>31</v>
      </c>
    </row>
    <row r="538" spans="1:28">
      <c r="A538" t="str">
        <f>"600651"</f>
        <v>600651</v>
      </c>
      <c r="B538" t="s">
        <v>699</v>
      </c>
      <c r="C538">
        <v>1.63</v>
      </c>
      <c r="D538">
        <v>5.62</v>
      </c>
      <c r="E538">
        <v>0.09</v>
      </c>
      <c r="F538">
        <v>5.62</v>
      </c>
      <c r="G538">
        <v>5.63</v>
      </c>
      <c r="H538">
        <v>32029</v>
      </c>
      <c r="I538">
        <v>10</v>
      </c>
      <c r="J538">
        <v>0</v>
      </c>
      <c r="K538">
        <v>0.43</v>
      </c>
      <c r="L538">
        <v>5.54</v>
      </c>
      <c r="M538">
        <v>5.63</v>
      </c>
      <c r="N538">
        <v>5.51</v>
      </c>
      <c r="O538">
        <v>5.53</v>
      </c>
      <c r="P538">
        <v>109.64</v>
      </c>
      <c r="Q538">
        <v>17861104</v>
      </c>
      <c r="R538">
        <v>0.43</v>
      </c>
      <c r="S538" t="s">
        <v>458</v>
      </c>
      <c r="T538" t="s">
        <v>30</v>
      </c>
      <c r="U538">
        <v>2.17</v>
      </c>
      <c r="V538">
        <v>5.58</v>
      </c>
      <c r="W538">
        <v>15447</v>
      </c>
      <c r="X538">
        <v>16582</v>
      </c>
      <c r="Y538">
        <v>0.93</v>
      </c>
      <c r="Z538">
        <v>19</v>
      </c>
      <c r="AA538">
        <v>617</v>
      </c>
      <c r="AB538" t="s">
        <v>31</v>
      </c>
    </row>
    <row r="539" spans="1:28">
      <c r="A539" t="str">
        <f>"600652"</f>
        <v>600652</v>
      </c>
      <c r="B539" t="s">
        <v>700</v>
      </c>
      <c r="C539">
        <v>1.0900000000000001</v>
      </c>
      <c r="D539">
        <v>4.6399999999999997</v>
      </c>
      <c r="E539">
        <v>0.05</v>
      </c>
      <c r="F539">
        <v>4.63</v>
      </c>
      <c r="G539">
        <v>4.6399999999999997</v>
      </c>
      <c r="H539">
        <v>65555</v>
      </c>
      <c r="I539">
        <v>52</v>
      </c>
      <c r="J539">
        <v>0.21</v>
      </c>
      <c r="K539">
        <v>1.18</v>
      </c>
      <c r="L539">
        <v>4.59</v>
      </c>
      <c r="M539">
        <v>4.68</v>
      </c>
      <c r="N539">
        <v>4.51</v>
      </c>
      <c r="O539">
        <v>4.59</v>
      </c>
      <c r="P539">
        <v>333.47</v>
      </c>
      <c r="Q539">
        <v>30200326</v>
      </c>
      <c r="R539">
        <v>0.59</v>
      </c>
      <c r="S539" t="s">
        <v>208</v>
      </c>
      <c r="T539" t="s">
        <v>30</v>
      </c>
      <c r="U539">
        <v>3.7</v>
      </c>
      <c r="V539">
        <v>4.6100000000000003</v>
      </c>
      <c r="W539">
        <v>31381</v>
      </c>
      <c r="X539">
        <v>34174</v>
      </c>
      <c r="Y539">
        <v>0.92</v>
      </c>
      <c r="Z539">
        <v>753</v>
      </c>
      <c r="AA539">
        <v>153</v>
      </c>
      <c r="AB539" t="s">
        <v>31</v>
      </c>
    </row>
    <row r="540" spans="1:28">
      <c r="A540" t="str">
        <f>"600653"</f>
        <v>600653</v>
      </c>
      <c r="B540" t="s">
        <v>701</v>
      </c>
      <c r="C540">
        <v>0.81</v>
      </c>
      <c r="D540">
        <v>2.5</v>
      </c>
      <c r="E540">
        <v>0.02</v>
      </c>
      <c r="F540">
        <v>2.4900000000000002</v>
      </c>
      <c r="G540">
        <v>2.5</v>
      </c>
      <c r="H540">
        <v>162092</v>
      </c>
      <c r="I540">
        <v>22</v>
      </c>
      <c r="J540">
        <v>0.4</v>
      </c>
      <c r="K540">
        <v>0.93</v>
      </c>
      <c r="L540">
        <v>2.46</v>
      </c>
      <c r="M540">
        <v>2.5</v>
      </c>
      <c r="N540">
        <v>2.39</v>
      </c>
      <c r="O540">
        <v>2.48</v>
      </c>
      <c r="P540">
        <v>489.98</v>
      </c>
      <c r="Q540">
        <v>39797372</v>
      </c>
      <c r="R540">
        <v>0.49</v>
      </c>
      <c r="S540" t="s">
        <v>702</v>
      </c>
      <c r="T540" t="s">
        <v>30</v>
      </c>
      <c r="U540">
        <v>4.4400000000000004</v>
      </c>
      <c r="V540">
        <v>2.46</v>
      </c>
      <c r="W540">
        <v>84689</v>
      </c>
      <c r="X540">
        <v>77403</v>
      </c>
      <c r="Y540">
        <v>1.0900000000000001</v>
      </c>
      <c r="Z540">
        <v>21</v>
      </c>
      <c r="AA540">
        <v>1530</v>
      </c>
      <c r="AB540" t="s">
        <v>31</v>
      </c>
    </row>
    <row r="541" spans="1:28">
      <c r="A541" t="str">
        <f>"600654"</f>
        <v>600654</v>
      </c>
      <c r="B541" t="s">
        <v>703</v>
      </c>
      <c r="C541">
        <v>0.54</v>
      </c>
      <c r="D541">
        <v>7.47</v>
      </c>
      <c r="E541">
        <v>0.04</v>
      </c>
      <c r="F541">
        <v>7.47</v>
      </c>
      <c r="G541">
        <v>7.48</v>
      </c>
      <c r="H541">
        <v>76649</v>
      </c>
      <c r="I541">
        <v>20</v>
      </c>
      <c r="J541">
        <v>-0.26</v>
      </c>
      <c r="K541">
        <v>1.02</v>
      </c>
      <c r="L541">
        <v>7.39</v>
      </c>
      <c r="M541">
        <v>7.5</v>
      </c>
      <c r="N541">
        <v>7.24</v>
      </c>
      <c r="O541">
        <v>7.43</v>
      </c>
      <c r="P541">
        <v>51.47</v>
      </c>
      <c r="Q541">
        <v>56674588</v>
      </c>
      <c r="R541">
        <v>0.8</v>
      </c>
      <c r="S541" t="s">
        <v>458</v>
      </c>
      <c r="T541" t="s">
        <v>30</v>
      </c>
      <c r="U541">
        <v>3.5</v>
      </c>
      <c r="V541">
        <v>7.39</v>
      </c>
      <c r="W541">
        <v>40108</v>
      </c>
      <c r="X541">
        <v>36541</v>
      </c>
      <c r="Y541">
        <v>1.1000000000000001</v>
      </c>
      <c r="Z541">
        <v>163</v>
      </c>
      <c r="AA541">
        <v>69</v>
      </c>
      <c r="AB541" t="s">
        <v>31</v>
      </c>
    </row>
    <row r="542" spans="1:28">
      <c r="A542" t="str">
        <f>"600655"</f>
        <v>600655</v>
      </c>
      <c r="B542" t="s">
        <v>704</v>
      </c>
      <c r="C542">
        <v>2.11</v>
      </c>
      <c r="D542">
        <v>8.73</v>
      </c>
      <c r="E542">
        <v>0.18</v>
      </c>
      <c r="F542">
        <v>8.7200000000000006</v>
      </c>
      <c r="G542">
        <v>8.73</v>
      </c>
      <c r="H542">
        <v>95594</v>
      </c>
      <c r="I542">
        <v>33</v>
      </c>
      <c r="J542">
        <v>0.11</v>
      </c>
      <c r="K542">
        <v>0.67</v>
      </c>
      <c r="L542">
        <v>8.58</v>
      </c>
      <c r="M542">
        <v>8.74</v>
      </c>
      <c r="N542">
        <v>8.3800000000000008</v>
      </c>
      <c r="O542">
        <v>8.5500000000000007</v>
      </c>
      <c r="P542">
        <v>12</v>
      </c>
      <c r="Q542">
        <v>82004528</v>
      </c>
      <c r="R542">
        <v>0.68</v>
      </c>
      <c r="S542" t="s">
        <v>374</v>
      </c>
      <c r="T542" t="s">
        <v>30</v>
      </c>
      <c r="U542">
        <v>4.21</v>
      </c>
      <c r="V542">
        <v>8.58</v>
      </c>
      <c r="W542">
        <v>48459</v>
      </c>
      <c r="X542">
        <v>47135</v>
      </c>
      <c r="Y542">
        <v>1.03</v>
      </c>
      <c r="Z542">
        <v>57</v>
      </c>
      <c r="AA542">
        <v>290</v>
      </c>
      <c r="AB542" t="s">
        <v>31</v>
      </c>
    </row>
    <row r="543" spans="1:28">
      <c r="A543" t="str">
        <f>"600656"</f>
        <v>600656</v>
      </c>
      <c r="B543" t="s">
        <v>705</v>
      </c>
      <c r="C543">
        <v>4.62</v>
      </c>
      <c r="D543">
        <v>6.11</v>
      </c>
      <c r="E543">
        <v>0.27</v>
      </c>
      <c r="F543">
        <v>6.11</v>
      </c>
      <c r="G543">
        <v>6.12</v>
      </c>
      <c r="H543">
        <v>46976</v>
      </c>
      <c r="I543">
        <v>5</v>
      </c>
      <c r="J543">
        <v>0.16</v>
      </c>
      <c r="K543">
        <v>2.4700000000000002</v>
      </c>
      <c r="L543">
        <v>5.85</v>
      </c>
      <c r="M543">
        <v>6.18</v>
      </c>
      <c r="N543">
        <v>5.78</v>
      </c>
      <c r="O543">
        <v>5.84</v>
      </c>
      <c r="P543" t="s">
        <v>31</v>
      </c>
      <c r="Q543">
        <v>28168120</v>
      </c>
      <c r="R543">
        <v>1.9</v>
      </c>
      <c r="S543" t="s">
        <v>94</v>
      </c>
      <c r="T543" t="s">
        <v>34</v>
      </c>
      <c r="U543">
        <v>6.85</v>
      </c>
      <c r="V543">
        <v>6</v>
      </c>
      <c r="W543">
        <v>27173</v>
      </c>
      <c r="X543">
        <v>19803</v>
      </c>
      <c r="Y543">
        <v>1.37</v>
      </c>
      <c r="Z543">
        <v>141</v>
      </c>
      <c r="AA543">
        <v>496</v>
      </c>
      <c r="AB543" t="s">
        <v>31</v>
      </c>
    </row>
    <row r="544" spans="1:28">
      <c r="A544" t="str">
        <f>"600657"</f>
        <v>600657</v>
      </c>
      <c r="B544" t="s">
        <v>706</v>
      </c>
      <c r="C544">
        <v>1.9</v>
      </c>
      <c r="D544">
        <v>3.22</v>
      </c>
      <c r="E544">
        <v>0.06</v>
      </c>
      <c r="F544">
        <v>3.22</v>
      </c>
      <c r="G544">
        <v>3.23</v>
      </c>
      <c r="H544">
        <v>106830</v>
      </c>
      <c r="I544">
        <v>1934</v>
      </c>
      <c r="J544">
        <v>0.31</v>
      </c>
      <c r="K544">
        <v>0.7</v>
      </c>
      <c r="L544">
        <v>3.16</v>
      </c>
      <c r="M544">
        <v>3.22</v>
      </c>
      <c r="N544">
        <v>3.11</v>
      </c>
      <c r="O544">
        <v>3.16</v>
      </c>
      <c r="P544">
        <v>18.79</v>
      </c>
      <c r="Q544">
        <v>33889324</v>
      </c>
      <c r="R544">
        <v>1.78</v>
      </c>
      <c r="S544" t="s">
        <v>90</v>
      </c>
      <c r="T544" t="s">
        <v>42</v>
      </c>
      <c r="U544">
        <v>3.48</v>
      </c>
      <c r="V544">
        <v>3.17</v>
      </c>
      <c r="W544">
        <v>56596</v>
      </c>
      <c r="X544">
        <v>50234</v>
      </c>
      <c r="Y544">
        <v>1.1299999999999999</v>
      </c>
      <c r="Z544">
        <v>66</v>
      </c>
      <c r="AA544">
        <v>903</v>
      </c>
      <c r="AB544" t="s">
        <v>31</v>
      </c>
    </row>
    <row r="545" spans="1:28">
      <c r="A545" t="str">
        <f>"600658"</f>
        <v>600658</v>
      </c>
      <c r="B545" t="s">
        <v>707</v>
      </c>
      <c r="C545">
        <v>-0.28000000000000003</v>
      </c>
      <c r="D545">
        <v>10.83</v>
      </c>
      <c r="E545">
        <v>-0.03</v>
      </c>
      <c r="F545">
        <v>10.82</v>
      </c>
      <c r="G545">
        <v>10.83</v>
      </c>
      <c r="H545">
        <v>176630</v>
      </c>
      <c r="I545">
        <v>14</v>
      </c>
      <c r="J545">
        <v>-0.18</v>
      </c>
      <c r="K545">
        <v>3.04</v>
      </c>
      <c r="L545">
        <v>10.68</v>
      </c>
      <c r="M545">
        <v>10.96</v>
      </c>
      <c r="N545">
        <v>10.49</v>
      </c>
      <c r="O545">
        <v>10.86</v>
      </c>
      <c r="P545">
        <v>8.92</v>
      </c>
      <c r="Q545">
        <v>189447056</v>
      </c>
      <c r="R545">
        <v>0.54</v>
      </c>
      <c r="S545" t="s">
        <v>41</v>
      </c>
      <c r="T545" t="s">
        <v>42</v>
      </c>
      <c r="U545">
        <v>4.33</v>
      </c>
      <c r="V545">
        <v>10.73</v>
      </c>
      <c r="W545">
        <v>87964</v>
      </c>
      <c r="X545">
        <v>88666</v>
      </c>
      <c r="Y545">
        <v>0.99</v>
      </c>
      <c r="Z545">
        <v>40</v>
      </c>
      <c r="AA545">
        <v>1553</v>
      </c>
      <c r="AB545" t="s">
        <v>31</v>
      </c>
    </row>
    <row r="546" spans="1:28">
      <c r="A546" t="str">
        <f>"600660"</f>
        <v>600660</v>
      </c>
      <c r="B546" t="s">
        <v>708</v>
      </c>
      <c r="C546">
        <v>3.7</v>
      </c>
      <c r="D546">
        <v>8.41</v>
      </c>
      <c r="E546">
        <v>0.3</v>
      </c>
      <c r="F546">
        <v>8.42</v>
      </c>
      <c r="G546">
        <v>8.43</v>
      </c>
      <c r="H546">
        <v>149673</v>
      </c>
      <c r="I546">
        <v>2</v>
      </c>
      <c r="J546">
        <v>-0.23</v>
      </c>
      <c r="K546">
        <v>0.75</v>
      </c>
      <c r="L546">
        <v>8.15</v>
      </c>
      <c r="M546">
        <v>8.5500000000000007</v>
      </c>
      <c r="N546">
        <v>8.08</v>
      </c>
      <c r="O546">
        <v>8.11</v>
      </c>
      <c r="P546">
        <v>9.4499999999999993</v>
      </c>
      <c r="Q546">
        <v>124853880</v>
      </c>
      <c r="R546">
        <v>1.21</v>
      </c>
      <c r="S546" t="s">
        <v>149</v>
      </c>
      <c r="T546" t="s">
        <v>78</v>
      </c>
      <c r="U546">
        <v>5.8</v>
      </c>
      <c r="V546">
        <v>8.34</v>
      </c>
      <c r="W546">
        <v>65156</v>
      </c>
      <c r="X546">
        <v>84517</v>
      </c>
      <c r="Y546">
        <v>0.77</v>
      </c>
      <c r="Z546">
        <v>395</v>
      </c>
      <c r="AA546">
        <v>357</v>
      </c>
      <c r="AB546" t="s">
        <v>31</v>
      </c>
    </row>
    <row r="547" spans="1:28">
      <c r="A547" t="str">
        <f>"600661"</f>
        <v>600661</v>
      </c>
      <c r="B547" t="s">
        <v>709</v>
      </c>
      <c r="C547">
        <v>2.15</v>
      </c>
      <c r="D547">
        <v>15.19</v>
      </c>
      <c r="E547">
        <v>0.32</v>
      </c>
      <c r="F547">
        <v>15.21</v>
      </c>
      <c r="G547">
        <v>15.22</v>
      </c>
      <c r="H547">
        <v>92609</v>
      </c>
      <c r="I547">
        <v>50</v>
      </c>
      <c r="J547">
        <v>0.19</v>
      </c>
      <c r="K547">
        <v>5.33</v>
      </c>
      <c r="L547">
        <v>14.78</v>
      </c>
      <c r="M547">
        <v>15.98</v>
      </c>
      <c r="N547">
        <v>14.66</v>
      </c>
      <c r="O547">
        <v>14.87</v>
      </c>
      <c r="P547">
        <v>259.45999999999998</v>
      </c>
      <c r="Q547">
        <v>142871696</v>
      </c>
      <c r="R547">
        <v>0.92</v>
      </c>
      <c r="S547" t="s">
        <v>129</v>
      </c>
      <c r="T547" t="s">
        <v>30</v>
      </c>
      <c r="U547">
        <v>8.8800000000000008</v>
      </c>
      <c r="V547">
        <v>15.43</v>
      </c>
      <c r="W547">
        <v>45068</v>
      </c>
      <c r="X547">
        <v>47541</v>
      </c>
      <c r="Y547">
        <v>0.95</v>
      </c>
      <c r="Z547">
        <v>11</v>
      </c>
      <c r="AA547">
        <v>135</v>
      </c>
      <c r="AB547" t="s">
        <v>31</v>
      </c>
    </row>
    <row r="548" spans="1:28">
      <c r="A548" t="str">
        <f>"600662"</f>
        <v>600662</v>
      </c>
      <c r="B548" t="s">
        <v>710</v>
      </c>
      <c r="C548">
        <v>1.67</v>
      </c>
      <c r="D548">
        <v>4.25</v>
      </c>
      <c r="E548">
        <v>7.0000000000000007E-2</v>
      </c>
      <c r="F548">
        <v>4.25</v>
      </c>
      <c r="G548">
        <v>4.2699999999999996</v>
      </c>
      <c r="H548">
        <v>33643</v>
      </c>
      <c r="I548">
        <v>24</v>
      </c>
      <c r="J548">
        <v>-0.46</v>
      </c>
      <c r="K548">
        <v>0.61</v>
      </c>
      <c r="L548">
        <v>4.18</v>
      </c>
      <c r="M548">
        <v>4.2699999999999996</v>
      </c>
      <c r="N548">
        <v>4.16</v>
      </c>
      <c r="O548">
        <v>4.18</v>
      </c>
      <c r="P548">
        <v>39.99</v>
      </c>
      <c r="Q548">
        <v>14197546</v>
      </c>
      <c r="R548">
        <v>0.52</v>
      </c>
      <c r="S548" t="s">
        <v>477</v>
      </c>
      <c r="T548" t="s">
        <v>30</v>
      </c>
      <c r="U548">
        <v>2.63</v>
      </c>
      <c r="V548">
        <v>4.22</v>
      </c>
      <c r="W548">
        <v>15331</v>
      </c>
      <c r="X548">
        <v>18312</v>
      </c>
      <c r="Y548">
        <v>0.84</v>
      </c>
      <c r="Z548">
        <v>287</v>
      </c>
      <c r="AA548">
        <v>772</v>
      </c>
      <c r="AB548" t="s">
        <v>31</v>
      </c>
    </row>
    <row r="549" spans="1:28">
      <c r="A549" t="str">
        <f>"600663"</f>
        <v>600663</v>
      </c>
      <c r="B549" t="s">
        <v>711</v>
      </c>
      <c r="C549">
        <v>-1.1399999999999999</v>
      </c>
      <c r="D549">
        <v>19.13</v>
      </c>
      <c r="E549">
        <v>-0.22</v>
      </c>
      <c r="F549">
        <v>19.11</v>
      </c>
      <c r="G549">
        <v>19.13</v>
      </c>
      <c r="H549">
        <v>129697</v>
      </c>
      <c r="I549">
        <v>10</v>
      </c>
      <c r="J549">
        <v>0.05</v>
      </c>
      <c r="K549">
        <v>0.95</v>
      </c>
      <c r="L549">
        <v>19.02</v>
      </c>
      <c r="M549">
        <v>19.25</v>
      </c>
      <c r="N549">
        <v>18.84</v>
      </c>
      <c r="O549">
        <v>19.350000000000001</v>
      </c>
      <c r="P549">
        <v>24.75</v>
      </c>
      <c r="Q549">
        <v>247188000</v>
      </c>
      <c r="R549">
        <v>0.6</v>
      </c>
      <c r="S549" t="s">
        <v>41</v>
      </c>
      <c r="T549" t="s">
        <v>30</v>
      </c>
      <c r="U549">
        <v>2.12</v>
      </c>
      <c r="V549">
        <v>19.059999999999999</v>
      </c>
      <c r="W549">
        <v>66456</v>
      </c>
      <c r="X549">
        <v>63241</v>
      </c>
      <c r="Y549">
        <v>1.05</v>
      </c>
      <c r="Z549">
        <v>46</v>
      </c>
      <c r="AA549">
        <v>217</v>
      </c>
      <c r="AB549" t="s">
        <v>31</v>
      </c>
    </row>
    <row r="550" spans="1:28">
      <c r="A550" t="str">
        <f>"600664"</f>
        <v>600664</v>
      </c>
      <c r="B550" t="s">
        <v>712</v>
      </c>
      <c r="C550">
        <v>0.97</v>
      </c>
      <c r="D550">
        <v>6.24</v>
      </c>
      <c r="E550">
        <v>0.06</v>
      </c>
      <c r="F550">
        <v>6.23</v>
      </c>
      <c r="G550">
        <v>6.25</v>
      </c>
      <c r="H550">
        <v>93479</v>
      </c>
      <c r="I550">
        <v>240</v>
      </c>
      <c r="J550">
        <v>0</v>
      </c>
      <c r="K550">
        <v>0.89</v>
      </c>
      <c r="L550">
        <v>6.17</v>
      </c>
      <c r="M550">
        <v>6.25</v>
      </c>
      <c r="N550">
        <v>6.13</v>
      </c>
      <c r="O550">
        <v>6.18</v>
      </c>
      <c r="P550">
        <v>32.81</v>
      </c>
      <c r="Q550">
        <v>57938548</v>
      </c>
      <c r="R550">
        <v>0.72</v>
      </c>
      <c r="S550" t="s">
        <v>117</v>
      </c>
      <c r="T550" t="s">
        <v>85</v>
      </c>
      <c r="U550">
        <v>1.94</v>
      </c>
      <c r="V550">
        <v>6.2</v>
      </c>
      <c r="W550">
        <v>57781</v>
      </c>
      <c r="X550">
        <v>35698</v>
      </c>
      <c r="Y550">
        <v>1.62</v>
      </c>
      <c r="Z550">
        <v>341</v>
      </c>
      <c r="AA550">
        <v>82</v>
      </c>
      <c r="AB550" t="s">
        <v>31</v>
      </c>
    </row>
    <row r="551" spans="1:28">
      <c r="A551" t="str">
        <f>"600665"</f>
        <v>600665</v>
      </c>
      <c r="B551" t="s">
        <v>713</v>
      </c>
      <c r="C551">
        <v>0.86</v>
      </c>
      <c r="D551">
        <v>3.51</v>
      </c>
      <c r="E551">
        <v>0.03</v>
      </c>
      <c r="F551">
        <v>3.5</v>
      </c>
      <c r="G551">
        <v>3.51</v>
      </c>
      <c r="H551">
        <v>22617</v>
      </c>
      <c r="I551">
        <v>4</v>
      </c>
      <c r="J551">
        <v>0</v>
      </c>
      <c r="K551">
        <v>0.26</v>
      </c>
      <c r="L551">
        <v>3.46</v>
      </c>
      <c r="M551">
        <v>3.52</v>
      </c>
      <c r="N551">
        <v>3.45</v>
      </c>
      <c r="O551">
        <v>3.48</v>
      </c>
      <c r="P551">
        <v>11.34</v>
      </c>
      <c r="Q551">
        <v>7907769</v>
      </c>
      <c r="R551">
        <v>0.81</v>
      </c>
      <c r="S551" t="s">
        <v>90</v>
      </c>
      <c r="T551" t="s">
        <v>30</v>
      </c>
      <c r="U551">
        <v>2.0099999999999998</v>
      </c>
      <c r="V551">
        <v>3.5</v>
      </c>
      <c r="W551">
        <v>10855</v>
      </c>
      <c r="X551">
        <v>11762</v>
      </c>
      <c r="Y551">
        <v>0.92</v>
      </c>
      <c r="Z551">
        <v>855</v>
      </c>
      <c r="AA551">
        <v>207</v>
      </c>
      <c r="AB551" t="s">
        <v>31</v>
      </c>
    </row>
    <row r="552" spans="1:28">
      <c r="A552" t="str">
        <f>"600666"</f>
        <v>600666</v>
      </c>
      <c r="B552" t="s">
        <v>714</v>
      </c>
      <c r="C552">
        <v>1.05</v>
      </c>
      <c r="D552">
        <v>6.75</v>
      </c>
      <c r="E552">
        <v>7.0000000000000007E-2</v>
      </c>
      <c r="F552">
        <v>6.75</v>
      </c>
      <c r="G552">
        <v>6.76</v>
      </c>
      <c r="H552">
        <v>14657</v>
      </c>
      <c r="I552">
        <v>30</v>
      </c>
      <c r="J552">
        <v>-0.14000000000000001</v>
      </c>
      <c r="K552">
        <v>0.51</v>
      </c>
      <c r="L552">
        <v>6.79</v>
      </c>
      <c r="M552">
        <v>6.79</v>
      </c>
      <c r="N552">
        <v>6.67</v>
      </c>
      <c r="O552">
        <v>6.68</v>
      </c>
      <c r="P552">
        <v>34.729999999999997</v>
      </c>
      <c r="Q552">
        <v>9849861</v>
      </c>
      <c r="R552">
        <v>0.48</v>
      </c>
      <c r="S552" t="s">
        <v>117</v>
      </c>
      <c r="T552" t="s">
        <v>184</v>
      </c>
      <c r="U552">
        <v>1.8</v>
      </c>
      <c r="V552">
        <v>6.72</v>
      </c>
      <c r="W552">
        <v>8256</v>
      </c>
      <c r="X552">
        <v>6401</v>
      </c>
      <c r="Y552">
        <v>1.29</v>
      </c>
      <c r="Z552">
        <v>186</v>
      </c>
      <c r="AA552">
        <v>108</v>
      </c>
      <c r="AB552" t="s">
        <v>31</v>
      </c>
    </row>
    <row r="553" spans="1:28">
      <c r="A553" t="str">
        <f>"600667"</f>
        <v>600667</v>
      </c>
      <c r="B553" t="s">
        <v>715</v>
      </c>
      <c r="C553">
        <v>0</v>
      </c>
      <c r="D553">
        <v>3</v>
      </c>
      <c r="E553">
        <v>0</v>
      </c>
      <c r="F553">
        <v>2.99</v>
      </c>
      <c r="G553">
        <v>3</v>
      </c>
      <c r="H553">
        <v>73698</v>
      </c>
      <c r="I553">
        <v>44</v>
      </c>
      <c r="J553">
        <v>0</v>
      </c>
      <c r="K553">
        <v>0.62</v>
      </c>
      <c r="L553">
        <v>2.97</v>
      </c>
      <c r="M553">
        <v>3.03</v>
      </c>
      <c r="N553">
        <v>2.96</v>
      </c>
      <c r="O553">
        <v>3</v>
      </c>
      <c r="P553">
        <v>1626.54</v>
      </c>
      <c r="Q553">
        <v>22045300</v>
      </c>
      <c r="R553">
        <v>0.76</v>
      </c>
      <c r="S553" t="s">
        <v>241</v>
      </c>
      <c r="T553" t="s">
        <v>120</v>
      </c>
      <c r="U553">
        <v>2.33</v>
      </c>
      <c r="V553">
        <v>2.99</v>
      </c>
      <c r="W553">
        <v>32952</v>
      </c>
      <c r="X553">
        <v>40746</v>
      </c>
      <c r="Y553">
        <v>0.81</v>
      </c>
      <c r="Z553">
        <v>6093</v>
      </c>
      <c r="AA553">
        <v>2619</v>
      </c>
      <c r="AB553" t="s">
        <v>31</v>
      </c>
    </row>
    <row r="554" spans="1:28">
      <c r="A554" t="str">
        <f>"600668"</f>
        <v>600668</v>
      </c>
      <c r="B554" t="s">
        <v>716</v>
      </c>
      <c r="C554">
        <v>0.33</v>
      </c>
      <c r="D554">
        <v>9.0399999999999991</v>
      </c>
      <c r="E554">
        <v>0.03</v>
      </c>
      <c r="F554">
        <v>9.0299999999999994</v>
      </c>
      <c r="G554">
        <v>9.0399999999999991</v>
      </c>
      <c r="H554">
        <v>83702</v>
      </c>
      <c r="I554">
        <v>20</v>
      </c>
      <c r="J554">
        <v>-0.22</v>
      </c>
      <c r="K554">
        <v>2.44</v>
      </c>
      <c r="L554">
        <v>8.99</v>
      </c>
      <c r="M554">
        <v>9.15</v>
      </c>
      <c r="N554">
        <v>8.8800000000000008</v>
      </c>
      <c r="O554">
        <v>9.01</v>
      </c>
      <c r="P554">
        <v>16.41</v>
      </c>
      <c r="Q554">
        <v>75122888</v>
      </c>
      <c r="R554">
        <v>1.46</v>
      </c>
      <c r="S554" t="s">
        <v>312</v>
      </c>
      <c r="T554" t="s">
        <v>95</v>
      </c>
      <c r="U554">
        <v>3</v>
      </c>
      <c r="V554">
        <v>8.9700000000000006</v>
      </c>
      <c r="W554">
        <v>31464</v>
      </c>
      <c r="X554">
        <v>52238</v>
      </c>
      <c r="Y554">
        <v>0.6</v>
      </c>
      <c r="Z554">
        <v>154</v>
      </c>
      <c r="AA554">
        <v>198</v>
      </c>
      <c r="AB554" t="s">
        <v>31</v>
      </c>
    </row>
    <row r="555" spans="1:28">
      <c r="A555" t="str">
        <f>"600671"</f>
        <v>600671</v>
      </c>
      <c r="B555" t="s">
        <v>717</v>
      </c>
      <c r="C555">
        <v>-1</v>
      </c>
      <c r="D555">
        <v>14.88</v>
      </c>
      <c r="E555">
        <v>-0.15</v>
      </c>
      <c r="F555">
        <v>14.86</v>
      </c>
      <c r="G555">
        <v>14.9</v>
      </c>
      <c r="H555">
        <v>15102</v>
      </c>
      <c r="I555">
        <v>35</v>
      </c>
      <c r="J555">
        <v>0.2</v>
      </c>
      <c r="K555">
        <v>1.24</v>
      </c>
      <c r="L555">
        <v>15.08</v>
      </c>
      <c r="M555">
        <v>15.25</v>
      </c>
      <c r="N555">
        <v>14.66</v>
      </c>
      <c r="O555">
        <v>15.03</v>
      </c>
      <c r="P555">
        <v>929.74</v>
      </c>
      <c r="Q555">
        <v>22529938</v>
      </c>
      <c r="R555">
        <v>0.84</v>
      </c>
      <c r="S555" t="s">
        <v>156</v>
      </c>
      <c r="T555" t="s">
        <v>95</v>
      </c>
      <c r="U555">
        <v>3.93</v>
      </c>
      <c r="V555">
        <v>14.92</v>
      </c>
      <c r="W555">
        <v>8333</v>
      </c>
      <c r="X555">
        <v>6769</v>
      </c>
      <c r="Y555">
        <v>1.23</v>
      </c>
      <c r="Z555">
        <v>50</v>
      </c>
      <c r="AA555">
        <v>11</v>
      </c>
      <c r="AB555" t="s">
        <v>31</v>
      </c>
    </row>
    <row r="556" spans="1:28">
      <c r="A556" t="str">
        <f>"600673"</f>
        <v>600673</v>
      </c>
      <c r="B556" t="s">
        <v>718</v>
      </c>
      <c r="C556">
        <v>4.13</v>
      </c>
      <c r="D556">
        <v>8.06</v>
      </c>
      <c r="E556">
        <v>0.32</v>
      </c>
      <c r="F556">
        <v>8.06</v>
      </c>
      <c r="G556">
        <v>8.07</v>
      </c>
      <c r="H556">
        <v>31525</v>
      </c>
      <c r="I556">
        <v>10</v>
      </c>
      <c r="J556">
        <v>0.37</v>
      </c>
      <c r="K556">
        <v>0.38</v>
      </c>
      <c r="L556">
        <v>7.74</v>
      </c>
      <c r="M556">
        <v>8.09</v>
      </c>
      <c r="N556">
        <v>7.72</v>
      </c>
      <c r="O556">
        <v>7.74</v>
      </c>
      <c r="P556">
        <v>46.2</v>
      </c>
      <c r="Q556">
        <v>25138700</v>
      </c>
      <c r="R556">
        <v>0.61</v>
      </c>
      <c r="S556" t="s">
        <v>316</v>
      </c>
      <c r="T556" t="s">
        <v>34</v>
      </c>
      <c r="U556">
        <v>4.78</v>
      </c>
      <c r="V556">
        <v>7.97</v>
      </c>
      <c r="W556">
        <v>11330</v>
      </c>
      <c r="X556">
        <v>20195</v>
      </c>
      <c r="Y556">
        <v>0.56000000000000005</v>
      </c>
      <c r="Z556">
        <v>160</v>
      </c>
      <c r="AA556">
        <v>176</v>
      </c>
      <c r="AB556" t="s">
        <v>31</v>
      </c>
    </row>
    <row r="557" spans="1:28">
      <c r="A557" t="str">
        <f>"600674"</f>
        <v>600674</v>
      </c>
      <c r="B557" t="s">
        <v>719</v>
      </c>
      <c r="C557">
        <v>3.23</v>
      </c>
      <c r="D557">
        <v>12.15</v>
      </c>
      <c r="E557">
        <v>0.38</v>
      </c>
      <c r="F557">
        <v>12.13</v>
      </c>
      <c r="G557">
        <v>12.15</v>
      </c>
      <c r="H557">
        <v>406650</v>
      </c>
      <c r="I557">
        <v>35</v>
      </c>
      <c r="J557">
        <v>-0.16</v>
      </c>
      <c r="K557">
        <v>2.0499999999999998</v>
      </c>
      <c r="L557">
        <v>11.77</v>
      </c>
      <c r="M557">
        <v>12.64</v>
      </c>
      <c r="N557">
        <v>11.71</v>
      </c>
      <c r="O557">
        <v>11.77</v>
      </c>
      <c r="P557">
        <v>13.78</v>
      </c>
      <c r="Q557">
        <v>498715296</v>
      </c>
      <c r="R557">
        <v>3.81</v>
      </c>
      <c r="S557" t="s">
        <v>49</v>
      </c>
      <c r="T557" t="s">
        <v>88</v>
      </c>
      <c r="U557">
        <v>7.9</v>
      </c>
      <c r="V557">
        <v>12.26</v>
      </c>
      <c r="W557">
        <v>190877</v>
      </c>
      <c r="X557">
        <v>215773</v>
      </c>
      <c r="Y557">
        <v>0.88</v>
      </c>
      <c r="Z557">
        <v>70</v>
      </c>
      <c r="AA557">
        <v>20</v>
      </c>
      <c r="AB557" t="s">
        <v>31</v>
      </c>
    </row>
    <row r="558" spans="1:28">
      <c r="A558" t="str">
        <f>"600675"</f>
        <v>600675</v>
      </c>
      <c r="B558" t="s">
        <v>720</v>
      </c>
      <c r="C558">
        <v>-0.31</v>
      </c>
      <c r="D558">
        <v>6.41</v>
      </c>
      <c r="E558">
        <v>-0.02</v>
      </c>
      <c r="F558">
        <v>6.41</v>
      </c>
      <c r="G558">
        <v>6.42</v>
      </c>
      <c r="H558">
        <v>191255</v>
      </c>
      <c r="I558">
        <v>81</v>
      </c>
      <c r="J558">
        <v>0.15</v>
      </c>
      <c r="K558">
        <v>1.23</v>
      </c>
      <c r="L558">
        <v>6.43</v>
      </c>
      <c r="M558">
        <v>6.43</v>
      </c>
      <c r="N558">
        <v>6.18</v>
      </c>
      <c r="O558">
        <v>6.43</v>
      </c>
      <c r="P558">
        <v>24.83</v>
      </c>
      <c r="Q558">
        <v>121123208</v>
      </c>
      <c r="R558">
        <v>0.64</v>
      </c>
      <c r="S558" t="s">
        <v>97</v>
      </c>
      <c r="T558" t="s">
        <v>30</v>
      </c>
      <c r="U558">
        <v>3.89</v>
      </c>
      <c r="V558">
        <v>6.33</v>
      </c>
      <c r="W558">
        <v>98692</v>
      </c>
      <c r="X558">
        <v>92563</v>
      </c>
      <c r="Y558">
        <v>1.07</v>
      </c>
      <c r="Z558">
        <v>1644</v>
      </c>
      <c r="AA558">
        <v>1372</v>
      </c>
      <c r="AB558" t="s">
        <v>31</v>
      </c>
    </row>
    <row r="559" spans="1:28">
      <c r="A559" t="str">
        <f>"600676"</f>
        <v>600676</v>
      </c>
      <c r="B559" t="s">
        <v>721</v>
      </c>
      <c r="C559">
        <v>1.67</v>
      </c>
      <c r="D559">
        <v>5.47</v>
      </c>
      <c r="E559">
        <v>0.09</v>
      </c>
      <c r="F559">
        <v>5.47</v>
      </c>
      <c r="G559">
        <v>5.48</v>
      </c>
      <c r="H559">
        <v>45175</v>
      </c>
      <c r="I559">
        <v>79</v>
      </c>
      <c r="J559">
        <v>0</v>
      </c>
      <c r="K559">
        <v>0.57999999999999996</v>
      </c>
      <c r="L559">
        <v>5.38</v>
      </c>
      <c r="M559">
        <v>5.48</v>
      </c>
      <c r="N559">
        <v>5.35</v>
      </c>
      <c r="O559">
        <v>5.38</v>
      </c>
      <c r="P559">
        <v>15.59</v>
      </c>
      <c r="Q559">
        <v>24449478</v>
      </c>
      <c r="R559">
        <v>0.51</v>
      </c>
      <c r="S559" t="s">
        <v>149</v>
      </c>
      <c r="T559" t="s">
        <v>30</v>
      </c>
      <c r="U559">
        <v>2.42</v>
      </c>
      <c r="V559">
        <v>5.41</v>
      </c>
      <c r="W559">
        <v>22392</v>
      </c>
      <c r="X559">
        <v>22783</v>
      </c>
      <c r="Y559">
        <v>0.98</v>
      </c>
      <c r="Z559">
        <v>197</v>
      </c>
      <c r="AA559">
        <v>796</v>
      </c>
      <c r="AB559" t="s">
        <v>31</v>
      </c>
    </row>
    <row r="560" spans="1:28">
      <c r="A560" t="str">
        <f>"600677"</f>
        <v>600677</v>
      </c>
      <c r="B560" t="s">
        <v>722</v>
      </c>
      <c r="C560">
        <v>10.01</v>
      </c>
      <c r="D560">
        <v>10.220000000000001</v>
      </c>
      <c r="E560">
        <v>0.93</v>
      </c>
      <c r="F560">
        <v>10.220000000000001</v>
      </c>
      <c r="G560" t="s">
        <v>31</v>
      </c>
      <c r="H560">
        <v>327504</v>
      </c>
      <c r="I560">
        <v>2</v>
      </c>
      <c r="J560">
        <v>0</v>
      </c>
      <c r="K560">
        <v>10.039999999999999</v>
      </c>
      <c r="L560">
        <v>9.2200000000000006</v>
      </c>
      <c r="M560">
        <v>10.220000000000001</v>
      </c>
      <c r="N560">
        <v>9.14</v>
      </c>
      <c r="O560">
        <v>9.2899999999999991</v>
      </c>
      <c r="P560">
        <v>56.56</v>
      </c>
      <c r="Q560">
        <v>322357056</v>
      </c>
      <c r="R560">
        <v>3.03</v>
      </c>
      <c r="S560" t="s">
        <v>140</v>
      </c>
      <c r="T560" t="s">
        <v>95</v>
      </c>
      <c r="U560">
        <v>11.63</v>
      </c>
      <c r="V560">
        <v>9.84</v>
      </c>
      <c r="W560">
        <v>146729</v>
      </c>
      <c r="X560">
        <v>180775</v>
      </c>
      <c r="Y560">
        <v>0.81</v>
      </c>
      <c r="Z560">
        <v>43338</v>
      </c>
      <c r="AA560">
        <v>0</v>
      </c>
      <c r="AB560" t="s">
        <v>31</v>
      </c>
    </row>
    <row r="561" spans="1:28">
      <c r="A561" t="str">
        <f>"600678"</f>
        <v>600678</v>
      </c>
      <c r="B561" t="s">
        <v>723</v>
      </c>
      <c r="C561">
        <v>3.21</v>
      </c>
      <c r="D561">
        <v>6.11</v>
      </c>
      <c r="E561">
        <v>0.19</v>
      </c>
      <c r="F561">
        <v>6.1</v>
      </c>
      <c r="G561">
        <v>6.11</v>
      </c>
      <c r="H561">
        <v>61888</v>
      </c>
      <c r="I561">
        <v>24</v>
      </c>
      <c r="J561">
        <v>0</v>
      </c>
      <c r="K561">
        <v>1.77</v>
      </c>
      <c r="L561">
        <v>5.86</v>
      </c>
      <c r="M561">
        <v>6.19</v>
      </c>
      <c r="N561">
        <v>5.79</v>
      </c>
      <c r="O561">
        <v>5.92</v>
      </c>
      <c r="P561" t="s">
        <v>31</v>
      </c>
      <c r="Q561">
        <v>36964004</v>
      </c>
      <c r="R561">
        <v>0.38</v>
      </c>
      <c r="S561" t="s">
        <v>312</v>
      </c>
      <c r="T561" t="s">
        <v>88</v>
      </c>
      <c r="U561">
        <v>6.76</v>
      </c>
      <c r="V561">
        <v>5.97</v>
      </c>
      <c r="W561">
        <v>27261</v>
      </c>
      <c r="X561">
        <v>34627</v>
      </c>
      <c r="Y561">
        <v>0.79</v>
      </c>
      <c r="Z561">
        <v>179</v>
      </c>
      <c r="AA561">
        <v>7</v>
      </c>
      <c r="AB561" t="s">
        <v>31</v>
      </c>
    </row>
    <row r="562" spans="1:28">
      <c r="A562" t="str">
        <f>"600679"</f>
        <v>600679</v>
      </c>
      <c r="B562" t="s">
        <v>724</v>
      </c>
      <c r="C562">
        <v>0.61</v>
      </c>
      <c r="D562">
        <v>11.51</v>
      </c>
      <c r="E562">
        <v>7.0000000000000007E-2</v>
      </c>
      <c r="F562">
        <v>11.5</v>
      </c>
      <c r="G562">
        <v>11.51</v>
      </c>
      <c r="H562">
        <v>27220</v>
      </c>
      <c r="I562">
        <v>6</v>
      </c>
      <c r="J562">
        <v>0.17</v>
      </c>
      <c r="K562">
        <v>1.5</v>
      </c>
      <c r="L562">
        <v>11.33</v>
      </c>
      <c r="M562">
        <v>11.56</v>
      </c>
      <c r="N562">
        <v>11.18</v>
      </c>
      <c r="O562">
        <v>11.44</v>
      </c>
      <c r="P562" t="s">
        <v>31</v>
      </c>
      <c r="Q562">
        <v>30956548</v>
      </c>
      <c r="R562">
        <v>0.56999999999999995</v>
      </c>
      <c r="S562" t="s">
        <v>129</v>
      </c>
      <c r="T562" t="s">
        <v>30</v>
      </c>
      <c r="U562">
        <v>3.32</v>
      </c>
      <c r="V562">
        <v>11.37</v>
      </c>
      <c r="W562">
        <v>14000</v>
      </c>
      <c r="X562">
        <v>13220</v>
      </c>
      <c r="Y562">
        <v>1.06</v>
      </c>
      <c r="Z562">
        <v>25</v>
      </c>
      <c r="AA562">
        <v>75</v>
      </c>
      <c r="AB562" t="s">
        <v>31</v>
      </c>
    </row>
    <row r="563" spans="1:28">
      <c r="A563" t="str">
        <f>"600680"</f>
        <v>600680</v>
      </c>
      <c r="B563" t="s">
        <v>725</v>
      </c>
      <c r="C563">
        <v>1.33</v>
      </c>
      <c r="D563">
        <v>9.17</v>
      </c>
      <c r="E563">
        <v>0.12</v>
      </c>
      <c r="F563">
        <v>9.15</v>
      </c>
      <c r="G563">
        <v>9.16</v>
      </c>
      <c r="H563">
        <v>12080</v>
      </c>
      <c r="I563">
        <v>14</v>
      </c>
      <c r="J563">
        <v>0.21</v>
      </c>
      <c r="K563">
        <v>0.47</v>
      </c>
      <c r="L563">
        <v>9.1300000000000008</v>
      </c>
      <c r="M563">
        <v>9.2200000000000006</v>
      </c>
      <c r="N563">
        <v>9</v>
      </c>
      <c r="O563">
        <v>9.0500000000000007</v>
      </c>
      <c r="P563">
        <v>285.66000000000003</v>
      </c>
      <c r="Q563">
        <v>11029819</v>
      </c>
      <c r="R563">
        <v>0.46</v>
      </c>
      <c r="S563" t="s">
        <v>140</v>
      </c>
      <c r="T563" t="s">
        <v>30</v>
      </c>
      <c r="U563">
        <v>2.4300000000000002</v>
      </c>
      <c r="V563">
        <v>9.1300000000000008</v>
      </c>
      <c r="W563">
        <v>6285</v>
      </c>
      <c r="X563">
        <v>5795</v>
      </c>
      <c r="Y563">
        <v>1.08</v>
      </c>
      <c r="Z563">
        <v>75</v>
      </c>
      <c r="AA563">
        <v>147</v>
      </c>
      <c r="AB563" t="s">
        <v>31</v>
      </c>
    </row>
    <row r="564" spans="1:28">
      <c r="A564" t="str">
        <f>"600681"</f>
        <v>600681</v>
      </c>
      <c r="B564" t="s">
        <v>726</v>
      </c>
      <c r="C564">
        <v>1.29</v>
      </c>
      <c r="D564">
        <v>4.72</v>
      </c>
      <c r="E564">
        <v>0.06</v>
      </c>
      <c r="F564">
        <v>4.72</v>
      </c>
      <c r="G564">
        <v>4.7300000000000004</v>
      </c>
      <c r="H564">
        <v>17151</v>
      </c>
      <c r="I564">
        <v>15</v>
      </c>
      <c r="J564">
        <v>0</v>
      </c>
      <c r="K564">
        <v>0.78</v>
      </c>
      <c r="L564">
        <v>4.68</v>
      </c>
      <c r="M564">
        <v>4.79</v>
      </c>
      <c r="N564">
        <v>4.62</v>
      </c>
      <c r="O564">
        <v>4.66</v>
      </c>
      <c r="P564" t="s">
        <v>31</v>
      </c>
      <c r="Q564">
        <v>8062538</v>
      </c>
      <c r="R564">
        <v>0.66</v>
      </c>
      <c r="S564" t="s">
        <v>727</v>
      </c>
      <c r="T564" t="s">
        <v>37</v>
      </c>
      <c r="U564">
        <v>3.65</v>
      </c>
      <c r="V564">
        <v>4.7</v>
      </c>
      <c r="W564">
        <v>11231</v>
      </c>
      <c r="X564">
        <v>5920</v>
      </c>
      <c r="Y564">
        <v>1.9</v>
      </c>
      <c r="Z564">
        <v>20</v>
      </c>
      <c r="AA564">
        <v>292</v>
      </c>
      <c r="AB564" t="s">
        <v>31</v>
      </c>
    </row>
    <row r="565" spans="1:28">
      <c r="A565" t="str">
        <f>"600682"</f>
        <v>600682</v>
      </c>
      <c r="B565" t="s">
        <v>728</v>
      </c>
      <c r="C565">
        <v>0.94</v>
      </c>
      <c r="D565">
        <v>11.78</v>
      </c>
      <c r="E565">
        <v>0.11</v>
      </c>
      <c r="F565">
        <v>11.74</v>
      </c>
      <c r="G565">
        <v>11.79</v>
      </c>
      <c r="H565">
        <v>10216</v>
      </c>
      <c r="I565">
        <v>16</v>
      </c>
      <c r="J565">
        <v>0.34</v>
      </c>
      <c r="K565">
        <v>0.28999999999999998</v>
      </c>
      <c r="L565">
        <v>11.54</v>
      </c>
      <c r="M565">
        <v>11.89</v>
      </c>
      <c r="N565">
        <v>11.48</v>
      </c>
      <c r="O565">
        <v>11.67</v>
      </c>
      <c r="P565">
        <v>29.38</v>
      </c>
      <c r="Q565">
        <v>11922271</v>
      </c>
      <c r="R565">
        <v>0.34</v>
      </c>
      <c r="S565" t="s">
        <v>374</v>
      </c>
      <c r="T565" t="s">
        <v>120</v>
      </c>
      <c r="U565">
        <v>3.51</v>
      </c>
      <c r="V565">
        <v>11.67</v>
      </c>
      <c r="W565">
        <v>4417</v>
      </c>
      <c r="X565">
        <v>5799</v>
      </c>
      <c r="Y565">
        <v>0.76</v>
      </c>
      <c r="Z565">
        <v>18</v>
      </c>
      <c r="AA565">
        <v>134</v>
      </c>
      <c r="AB565" t="s">
        <v>31</v>
      </c>
    </row>
    <row r="566" spans="1:28">
      <c r="A566" t="str">
        <f>"600683"</f>
        <v>600683</v>
      </c>
      <c r="B566" t="s">
        <v>729</v>
      </c>
      <c r="C566">
        <v>1.24</v>
      </c>
      <c r="D566">
        <v>4.88</v>
      </c>
      <c r="E566">
        <v>0.06</v>
      </c>
      <c r="F566">
        <v>4.88</v>
      </c>
      <c r="G566">
        <v>4.8899999999999997</v>
      </c>
      <c r="H566">
        <v>41841</v>
      </c>
      <c r="I566">
        <v>2</v>
      </c>
      <c r="J566">
        <v>-0.2</v>
      </c>
      <c r="K566">
        <v>0.56000000000000005</v>
      </c>
      <c r="L566">
        <v>4.74</v>
      </c>
      <c r="M566">
        <v>4.92</v>
      </c>
      <c r="N566">
        <v>4.74</v>
      </c>
      <c r="O566">
        <v>4.82</v>
      </c>
      <c r="P566" t="s">
        <v>31</v>
      </c>
      <c r="Q566">
        <v>20353380</v>
      </c>
      <c r="R566">
        <v>0.33</v>
      </c>
      <c r="S566" t="s">
        <v>97</v>
      </c>
      <c r="T566" t="s">
        <v>95</v>
      </c>
      <c r="U566">
        <v>3.73</v>
      </c>
      <c r="V566">
        <v>4.8600000000000003</v>
      </c>
      <c r="W566">
        <v>20605</v>
      </c>
      <c r="X566">
        <v>21236</v>
      </c>
      <c r="Y566">
        <v>0.97</v>
      </c>
      <c r="Z566">
        <v>107</v>
      </c>
      <c r="AA566">
        <v>197</v>
      </c>
      <c r="AB566" t="s">
        <v>31</v>
      </c>
    </row>
    <row r="567" spans="1:28">
      <c r="A567" t="str">
        <f>"600684"</f>
        <v>600684</v>
      </c>
      <c r="B567" t="s">
        <v>730</v>
      </c>
      <c r="C567">
        <v>1.52</v>
      </c>
      <c r="D567">
        <v>7.37</v>
      </c>
      <c r="E567">
        <v>0.11</v>
      </c>
      <c r="F567">
        <v>7.36</v>
      </c>
      <c r="G567">
        <v>7.37</v>
      </c>
      <c r="H567">
        <v>50274</v>
      </c>
      <c r="I567">
        <v>5</v>
      </c>
      <c r="J567">
        <v>0.13</v>
      </c>
      <c r="K567">
        <v>1.06</v>
      </c>
      <c r="L567">
        <v>7.26</v>
      </c>
      <c r="M567">
        <v>7.38</v>
      </c>
      <c r="N567">
        <v>7.21</v>
      </c>
      <c r="O567">
        <v>7.26</v>
      </c>
      <c r="P567">
        <v>7.79</v>
      </c>
      <c r="Q567">
        <v>36672788</v>
      </c>
      <c r="R567">
        <v>0.37</v>
      </c>
      <c r="S567" t="s">
        <v>90</v>
      </c>
      <c r="T567" t="s">
        <v>34</v>
      </c>
      <c r="U567">
        <v>2.34</v>
      </c>
      <c r="V567">
        <v>7.29</v>
      </c>
      <c r="W567">
        <v>26165</v>
      </c>
      <c r="X567">
        <v>24109</v>
      </c>
      <c r="Y567">
        <v>1.0900000000000001</v>
      </c>
      <c r="Z567">
        <v>18</v>
      </c>
      <c r="AA567">
        <v>319</v>
      </c>
      <c r="AB567" t="s">
        <v>31</v>
      </c>
    </row>
    <row r="568" spans="1:28">
      <c r="A568" t="str">
        <f>"600685"</f>
        <v>600685</v>
      </c>
      <c r="B568" t="s">
        <v>731</v>
      </c>
      <c r="C568">
        <v>1.35</v>
      </c>
      <c r="D568">
        <v>11.23</v>
      </c>
      <c r="E568">
        <v>0.15</v>
      </c>
      <c r="F568">
        <v>11.23</v>
      </c>
      <c r="G568">
        <v>11.25</v>
      </c>
      <c r="H568">
        <v>32642</v>
      </c>
      <c r="I568">
        <v>2</v>
      </c>
      <c r="J568">
        <v>0</v>
      </c>
      <c r="K568">
        <v>0.79</v>
      </c>
      <c r="L568">
        <v>11.08</v>
      </c>
      <c r="M568">
        <v>11.34</v>
      </c>
      <c r="N568">
        <v>11.05</v>
      </c>
      <c r="O568">
        <v>11.08</v>
      </c>
      <c r="P568">
        <v>82.38</v>
      </c>
      <c r="Q568">
        <v>36576172</v>
      </c>
      <c r="R568">
        <v>1.01</v>
      </c>
      <c r="S568" t="s">
        <v>131</v>
      </c>
      <c r="T568" t="s">
        <v>34</v>
      </c>
      <c r="U568">
        <v>2.62</v>
      </c>
      <c r="V568">
        <v>11.21</v>
      </c>
      <c r="W568">
        <v>17379</v>
      </c>
      <c r="X568">
        <v>15263</v>
      </c>
      <c r="Y568">
        <v>1.1399999999999999</v>
      </c>
      <c r="Z568">
        <v>42</v>
      </c>
      <c r="AA568">
        <v>128</v>
      </c>
      <c r="AB568" t="s">
        <v>31</v>
      </c>
    </row>
    <row r="569" spans="1:28">
      <c r="A569" t="str">
        <f>"600686"</f>
        <v>600686</v>
      </c>
      <c r="B569" t="s">
        <v>732</v>
      </c>
      <c r="C569">
        <v>0.95</v>
      </c>
      <c r="D569">
        <v>8.52</v>
      </c>
      <c r="E569">
        <v>0.08</v>
      </c>
      <c r="F569">
        <v>8.5299999999999994</v>
      </c>
      <c r="G569">
        <v>8.5500000000000007</v>
      </c>
      <c r="H569">
        <v>10370</v>
      </c>
      <c r="I569">
        <v>10</v>
      </c>
      <c r="J569">
        <v>0.35</v>
      </c>
      <c r="K569">
        <v>0.23</v>
      </c>
      <c r="L569">
        <v>8.44</v>
      </c>
      <c r="M569">
        <v>8.6999999999999993</v>
      </c>
      <c r="N569">
        <v>8.4</v>
      </c>
      <c r="O569">
        <v>8.44</v>
      </c>
      <c r="P569">
        <v>26.63</v>
      </c>
      <c r="Q569">
        <v>8859821</v>
      </c>
      <c r="R569">
        <v>0.51</v>
      </c>
      <c r="S569" t="s">
        <v>39</v>
      </c>
      <c r="T569" t="s">
        <v>78</v>
      </c>
      <c r="U569">
        <v>3.55</v>
      </c>
      <c r="V569">
        <v>8.5399999999999991</v>
      </c>
      <c r="W569">
        <v>5894</v>
      </c>
      <c r="X569">
        <v>4476</v>
      </c>
      <c r="Y569">
        <v>1.32</v>
      </c>
      <c r="Z569">
        <v>84</v>
      </c>
      <c r="AA569">
        <v>272</v>
      </c>
      <c r="AB569" t="s">
        <v>31</v>
      </c>
    </row>
    <row r="570" spans="1:28">
      <c r="A570" t="str">
        <f>"600687"</f>
        <v>600687</v>
      </c>
      <c r="B570" t="s">
        <v>733</v>
      </c>
      <c r="C570">
        <v>1.34</v>
      </c>
      <c r="D570">
        <v>12.11</v>
      </c>
      <c r="E570">
        <v>0.16</v>
      </c>
      <c r="F570">
        <v>12.08</v>
      </c>
      <c r="G570">
        <v>12.1</v>
      </c>
      <c r="H570">
        <v>15553</v>
      </c>
      <c r="I570">
        <v>2</v>
      </c>
      <c r="J570">
        <v>0.08</v>
      </c>
      <c r="K570">
        <v>1.23</v>
      </c>
      <c r="L570">
        <v>11.95</v>
      </c>
      <c r="M570">
        <v>12.2</v>
      </c>
      <c r="N570">
        <v>11.9</v>
      </c>
      <c r="O570">
        <v>11.95</v>
      </c>
      <c r="P570">
        <v>20.48</v>
      </c>
      <c r="Q570">
        <v>18820196</v>
      </c>
      <c r="R570">
        <v>0.73</v>
      </c>
      <c r="S570" t="s">
        <v>94</v>
      </c>
      <c r="T570" t="s">
        <v>95</v>
      </c>
      <c r="U570">
        <v>2.5099999999999998</v>
      </c>
      <c r="V570">
        <v>12.1</v>
      </c>
      <c r="W570">
        <v>10004</v>
      </c>
      <c r="X570">
        <v>5549</v>
      </c>
      <c r="Y570">
        <v>1.8</v>
      </c>
      <c r="Z570">
        <v>4</v>
      </c>
      <c r="AA570">
        <v>18</v>
      </c>
      <c r="AB570" t="s">
        <v>31</v>
      </c>
    </row>
    <row r="571" spans="1:28">
      <c r="A571" t="str">
        <f>"600688"</f>
        <v>600688</v>
      </c>
      <c r="B571" t="s">
        <v>734</v>
      </c>
      <c r="C571">
        <v>2.36</v>
      </c>
      <c r="D571">
        <v>4.34</v>
      </c>
      <c r="E571">
        <v>0.1</v>
      </c>
      <c r="F571">
        <v>4.33</v>
      </c>
      <c r="G571">
        <v>4.34</v>
      </c>
      <c r="H571">
        <v>610508</v>
      </c>
      <c r="I571">
        <v>244</v>
      </c>
      <c r="J571">
        <v>0.23</v>
      </c>
      <c r="K571">
        <v>5.65</v>
      </c>
      <c r="L571">
        <v>4.2</v>
      </c>
      <c r="M571">
        <v>4.3499999999999996</v>
      </c>
      <c r="N571">
        <v>4.16</v>
      </c>
      <c r="O571">
        <v>4.24</v>
      </c>
      <c r="P571">
        <v>23.34</v>
      </c>
      <c r="Q571">
        <v>262101680</v>
      </c>
      <c r="R571">
        <v>2.73</v>
      </c>
      <c r="S571" t="s">
        <v>68</v>
      </c>
      <c r="T571" t="s">
        <v>30</v>
      </c>
      <c r="U571">
        <v>4.4800000000000004</v>
      </c>
      <c r="V571">
        <v>4.29</v>
      </c>
      <c r="W571">
        <v>246170</v>
      </c>
      <c r="X571">
        <v>364338</v>
      </c>
      <c r="Y571">
        <v>0.68</v>
      </c>
      <c r="Z571">
        <v>3094</v>
      </c>
      <c r="AA571">
        <v>3818</v>
      </c>
      <c r="AB571" t="s">
        <v>31</v>
      </c>
    </row>
    <row r="572" spans="1:28">
      <c r="A572" t="str">
        <f>"600689"</f>
        <v>600689</v>
      </c>
      <c r="B572" t="s">
        <v>735</v>
      </c>
      <c r="C572">
        <v>1.56</v>
      </c>
      <c r="D572">
        <v>9.11</v>
      </c>
      <c r="E572">
        <v>0.14000000000000001</v>
      </c>
      <c r="F572">
        <v>9.11</v>
      </c>
      <c r="G572">
        <v>9.1199999999999992</v>
      </c>
      <c r="H572">
        <v>32997</v>
      </c>
      <c r="I572">
        <v>20</v>
      </c>
      <c r="J572">
        <v>-0.1</v>
      </c>
      <c r="K572">
        <v>2.17</v>
      </c>
      <c r="L572">
        <v>8.92</v>
      </c>
      <c r="M572">
        <v>9.1300000000000008</v>
      </c>
      <c r="N572">
        <v>8.7799999999999994</v>
      </c>
      <c r="O572">
        <v>8.9700000000000006</v>
      </c>
      <c r="P572">
        <v>352.83</v>
      </c>
      <c r="Q572">
        <v>29658484</v>
      </c>
      <c r="R572">
        <v>0.69</v>
      </c>
      <c r="S572" t="s">
        <v>127</v>
      </c>
      <c r="T572" t="s">
        <v>30</v>
      </c>
      <c r="U572">
        <v>3.9</v>
      </c>
      <c r="V572">
        <v>8.99</v>
      </c>
      <c r="W572">
        <v>16780</v>
      </c>
      <c r="X572">
        <v>16217</v>
      </c>
      <c r="Y572">
        <v>1.03</v>
      </c>
      <c r="Z572">
        <v>89</v>
      </c>
      <c r="AA572">
        <v>345</v>
      </c>
      <c r="AB572" t="s">
        <v>31</v>
      </c>
    </row>
    <row r="573" spans="1:28">
      <c r="A573" t="str">
        <f>"600690"</f>
        <v>600690</v>
      </c>
      <c r="B573" t="s">
        <v>736</v>
      </c>
      <c r="C573">
        <v>1.39</v>
      </c>
      <c r="D573">
        <v>16.04</v>
      </c>
      <c r="E573">
        <v>0.22</v>
      </c>
      <c r="F573">
        <v>16.03</v>
      </c>
      <c r="G573">
        <v>16.04</v>
      </c>
      <c r="H573">
        <v>225043</v>
      </c>
      <c r="I573">
        <v>8</v>
      </c>
      <c r="J573">
        <v>0.18</v>
      </c>
      <c r="K573">
        <v>0.83</v>
      </c>
      <c r="L573">
        <v>15.9</v>
      </c>
      <c r="M573">
        <v>16.39</v>
      </c>
      <c r="N573">
        <v>15.45</v>
      </c>
      <c r="O573">
        <v>15.82</v>
      </c>
      <c r="P573">
        <v>10.15</v>
      </c>
      <c r="Q573">
        <v>359615904</v>
      </c>
      <c r="R573">
        <v>1.04</v>
      </c>
      <c r="S573" t="s">
        <v>113</v>
      </c>
      <c r="T573" t="s">
        <v>57</v>
      </c>
      <c r="U573">
        <v>5.94</v>
      </c>
      <c r="V573">
        <v>15.98</v>
      </c>
      <c r="W573">
        <v>115146</v>
      </c>
      <c r="X573">
        <v>109897</v>
      </c>
      <c r="Y573">
        <v>1.05</v>
      </c>
      <c r="Z573">
        <v>542</v>
      </c>
      <c r="AA573">
        <v>15</v>
      </c>
      <c r="AB573" t="s">
        <v>31</v>
      </c>
    </row>
    <row r="574" spans="1:28">
      <c r="A574" t="str">
        <f>"600691"</f>
        <v>600691</v>
      </c>
      <c r="B574" t="s">
        <v>737</v>
      </c>
      <c r="C574">
        <v>-2.0499999999999998</v>
      </c>
      <c r="D574">
        <v>7.15</v>
      </c>
      <c r="E574">
        <v>-0.15</v>
      </c>
      <c r="F574">
        <v>7.14</v>
      </c>
      <c r="G574">
        <v>7.15</v>
      </c>
      <c r="H574">
        <v>314485</v>
      </c>
      <c r="I574">
        <v>125</v>
      </c>
      <c r="J574">
        <v>-0.41</v>
      </c>
      <c r="K574">
        <v>3.48</v>
      </c>
      <c r="L574">
        <v>7.25</v>
      </c>
      <c r="M574">
        <v>7.36</v>
      </c>
      <c r="N574">
        <v>7.05</v>
      </c>
      <c r="O574">
        <v>7.3</v>
      </c>
      <c r="P574">
        <v>49.53</v>
      </c>
      <c r="Q574">
        <v>225305856</v>
      </c>
      <c r="R574">
        <v>1.34</v>
      </c>
      <c r="S574" t="s">
        <v>169</v>
      </c>
      <c r="T574" t="s">
        <v>88</v>
      </c>
      <c r="U574">
        <v>4.25</v>
      </c>
      <c r="V574">
        <v>7.16</v>
      </c>
      <c r="W574">
        <v>183643</v>
      </c>
      <c r="X574">
        <v>130842</v>
      </c>
      <c r="Y574">
        <v>1.4</v>
      </c>
      <c r="Z574">
        <v>678</v>
      </c>
      <c r="AA574">
        <v>78</v>
      </c>
      <c r="AB574" t="s">
        <v>31</v>
      </c>
    </row>
    <row r="575" spans="1:28">
      <c r="A575" t="str">
        <f>"600692"</f>
        <v>600692</v>
      </c>
      <c r="B575" t="s">
        <v>738</v>
      </c>
      <c r="C575">
        <v>0.36</v>
      </c>
      <c r="D575">
        <v>8.33</v>
      </c>
      <c r="E575">
        <v>0.03</v>
      </c>
      <c r="F575">
        <v>8.32</v>
      </c>
      <c r="G575">
        <v>8.33</v>
      </c>
      <c r="H575">
        <v>47336</v>
      </c>
      <c r="I575">
        <v>5</v>
      </c>
      <c r="J575">
        <v>-0.11</v>
      </c>
      <c r="K575">
        <v>1.86</v>
      </c>
      <c r="L575">
        <v>8.23</v>
      </c>
      <c r="M575">
        <v>8.3800000000000008</v>
      </c>
      <c r="N575">
        <v>8.18</v>
      </c>
      <c r="O575">
        <v>8.3000000000000007</v>
      </c>
      <c r="P575">
        <v>147.66</v>
      </c>
      <c r="Q575">
        <v>39265976</v>
      </c>
      <c r="R575">
        <v>0.64</v>
      </c>
      <c r="S575" t="s">
        <v>65</v>
      </c>
      <c r="T575" t="s">
        <v>30</v>
      </c>
      <c r="U575">
        <v>2.41</v>
      </c>
      <c r="V575">
        <v>8.3000000000000007</v>
      </c>
      <c r="W575">
        <v>23964</v>
      </c>
      <c r="X575">
        <v>23372</v>
      </c>
      <c r="Y575">
        <v>1.03</v>
      </c>
      <c r="Z575">
        <v>84</v>
      </c>
      <c r="AA575">
        <v>273</v>
      </c>
      <c r="AB575" t="s">
        <v>31</v>
      </c>
    </row>
    <row r="576" spans="1:28">
      <c r="A576" t="str">
        <f>"600693"</f>
        <v>600693</v>
      </c>
      <c r="B576" t="s">
        <v>739</v>
      </c>
      <c r="C576">
        <v>1.68</v>
      </c>
      <c r="D576">
        <v>7.26</v>
      </c>
      <c r="E576">
        <v>0.12</v>
      </c>
      <c r="F576">
        <v>7.26</v>
      </c>
      <c r="G576">
        <v>7.27</v>
      </c>
      <c r="H576">
        <v>13336</v>
      </c>
      <c r="I576">
        <v>50</v>
      </c>
      <c r="J576">
        <v>0</v>
      </c>
      <c r="K576">
        <v>0.45</v>
      </c>
      <c r="L576">
        <v>7.24</v>
      </c>
      <c r="M576">
        <v>7.32</v>
      </c>
      <c r="N576">
        <v>7.1</v>
      </c>
      <c r="O576">
        <v>7.14</v>
      </c>
      <c r="P576">
        <v>27.59</v>
      </c>
      <c r="Q576">
        <v>9647987</v>
      </c>
      <c r="R576">
        <v>0.84</v>
      </c>
      <c r="S576" t="s">
        <v>374</v>
      </c>
      <c r="T576" t="s">
        <v>78</v>
      </c>
      <c r="U576">
        <v>3.08</v>
      </c>
      <c r="V576">
        <v>7.23</v>
      </c>
      <c r="W576">
        <v>3371</v>
      </c>
      <c r="X576">
        <v>9965</v>
      </c>
      <c r="Y576">
        <v>0.34</v>
      </c>
      <c r="Z576">
        <v>50</v>
      </c>
      <c r="AA576">
        <v>66</v>
      </c>
      <c r="AB576" t="s">
        <v>31</v>
      </c>
    </row>
    <row r="577" spans="1:28">
      <c r="A577" t="str">
        <f>"600694"</f>
        <v>600694</v>
      </c>
      <c r="B577" t="s">
        <v>740</v>
      </c>
      <c r="C577">
        <v>2.96</v>
      </c>
      <c r="D577">
        <v>29.6</v>
      </c>
      <c r="E577">
        <v>0.85</v>
      </c>
      <c r="F577">
        <v>29.61</v>
      </c>
      <c r="G577">
        <v>29.62</v>
      </c>
      <c r="H577">
        <v>30505</v>
      </c>
      <c r="I577">
        <v>4</v>
      </c>
      <c r="J577">
        <v>0.71</v>
      </c>
      <c r="K577">
        <v>1.04</v>
      </c>
      <c r="L577">
        <v>28.8</v>
      </c>
      <c r="M577">
        <v>29.62</v>
      </c>
      <c r="N577">
        <v>28.5</v>
      </c>
      <c r="O577">
        <v>28.75</v>
      </c>
      <c r="P577">
        <v>7.03</v>
      </c>
      <c r="Q577">
        <v>88608232</v>
      </c>
      <c r="R577">
        <v>0.62</v>
      </c>
      <c r="S577" t="s">
        <v>374</v>
      </c>
      <c r="T577" t="s">
        <v>142</v>
      </c>
      <c r="U577">
        <v>3.9</v>
      </c>
      <c r="V577">
        <v>29.05</v>
      </c>
      <c r="W577">
        <v>14561</v>
      </c>
      <c r="X577">
        <v>15944</v>
      </c>
      <c r="Y577">
        <v>0.91</v>
      </c>
      <c r="Z577">
        <v>2</v>
      </c>
      <c r="AA577">
        <v>17</v>
      </c>
      <c r="AB577" t="s">
        <v>31</v>
      </c>
    </row>
    <row r="578" spans="1:28">
      <c r="A578" t="str">
        <f>"600695"</f>
        <v>600695</v>
      </c>
      <c r="B578" t="s">
        <v>741</v>
      </c>
      <c r="C578">
        <v>0.98</v>
      </c>
      <c r="D578">
        <v>5.15</v>
      </c>
      <c r="E578">
        <v>0.05</v>
      </c>
      <c r="F578">
        <v>5.15</v>
      </c>
      <c r="G578">
        <v>5.16</v>
      </c>
      <c r="H578">
        <v>26338</v>
      </c>
      <c r="I578">
        <v>43</v>
      </c>
      <c r="J578">
        <v>0.19</v>
      </c>
      <c r="K578">
        <v>0.8</v>
      </c>
      <c r="L578">
        <v>5.08</v>
      </c>
      <c r="M578">
        <v>5.16</v>
      </c>
      <c r="N578">
        <v>5.0199999999999996</v>
      </c>
      <c r="O578">
        <v>5.0999999999999996</v>
      </c>
      <c r="P578">
        <v>17.940000000000001</v>
      </c>
      <c r="Q578">
        <v>13478196</v>
      </c>
      <c r="R578">
        <v>0.59</v>
      </c>
      <c r="S578" t="s">
        <v>133</v>
      </c>
      <c r="T578" t="s">
        <v>30</v>
      </c>
      <c r="U578">
        <v>2.75</v>
      </c>
      <c r="V578">
        <v>5.12</v>
      </c>
      <c r="W578">
        <v>12984</v>
      </c>
      <c r="X578">
        <v>13354</v>
      </c>
      <c r="Y578">
        <v>0.97</v>
      </c>
      <c r="Z578">
        <v>25</v>
      </c>
      <c r="AA578">
        <v>38</v>
      </c>
      <c r="AB578" t="s">
        <v>31</v>
      </c>
    </row>
    <row r="579" spans="1:28">
      <c r="A579" t="str">
        <f>"600696"</f>
        <v>600696</v>
      </c>
      <c r="B579" t="s">
        <v>742</v>
      </c>
      <c r="C579">
        <v>1.06</v>
      </c>
      <c r="D579">
        <v>5.71</v>
      </c>
      <c r="E579">
        <v>0.06</v>
      </c>
      <c r="F579">
        <v>5.7</v>
      </c>
      <c r="G579">
        <v>5.71</v>
      </c>
      <c r="H579">
        <v>56917</v>
      </c>
      <c r="I579">
        <v>1</v>
      </c>
      <c r="J579">
        <v>0.17</v>
      </c>
      <c r="K579">
        <v>1.67</v>
      </c>
      <c r="L579">
        <v>5.65</v>
      </c>
      <c r="M579">
        <v>5.73</v>
      </c>
      <c r="N579">
        <v>5.61</v>
      </c>
      <c r="O579">
        <v>5.65</v>
      </c>
      <c r="P579">
        <v>68.86</v>
      </c>
      <c r="Q579">
        <v>32356204</v>
      </c>
      <c r="R579">
        <v>0.66</v>
      </c>
      <c r="S579" t="s">
        <v>97</v>
      </c>
      <c r="T579" t="s">
        <v>30</v>
      </c>
      <c r="U579">
        <v>2.12</v>
      </c>
      <c r="V579">
        <v>5.68</v>
      </c>
      <c r="W579">
        <v>27318</v>
      </c>
      <c r="X579">
        <v>29599</v>
      </c>
      <c r="Y579">
        <v>0.92</v>
      </c>
      <c r="Z579">
        <v>1047</v>
      </c>
      <c r="AA579">
        <v>199</v>
      </c>
      <c r="AB579" t="s">
        <v>31</v>
      </c>
    </row>
    <row r="580" spans="1:28">
      <c r="A580" t="str">
        <f>"600697"</f>
        <v>600697</v>
      </c>
      <c r="B580" t="s">
        <v>743</v>
      </c>
      <c r="C580">
        <v>0.9</v>
      </c>
      <c r="D580">
        <v>19.12</v>
      </c>
      <c r="E580">
        <v>0.17</v>
      </c>
      <c r="F580">
        <v>19.100000000000001</v>
      </c>
      <c r="G580">
        <v>19.14</v>
      </c>
      <c r="H580">
        <v>15554</v>
      </c>
      <c r="I580">
        <v>3</v>
      </c>
      <c r="J580">
        <v>0.15</v>
      </c>
      <c r="K580">
        <v>1</v>
      </c>
      <c r="L580">
        <v>18.88</v>
      </c>
      <c r="M580">
        <v>19.2</v>
      </c>
      <c r="N580">
        <v>18.88</v>
      </c>
      <c r="O580">
        <v>18.95</v>
      </c>
      <c r="P580">
        <v>14.72</v>
      </c>
      <c r="Q580">
        <v>29626954</v>
      </c>
      <c r="R580">
        <v>0.76</v>
      </c>
      <c r="S580" t="s">
        <v>374</v>
      </c>
      <c r="T580" t="s">
        <v>191</v>
      </c>
      <c r="U580">
        <v>1.69</v>
      </c>
      <c r="V580">
        <v>19.05</v>
      </c>
      <c r="W580">
        <v>7723</v>
      </c>
      <c r="X580">
        <v>7831</v>
      </c>
      <c r="Y580">
        <v>0.99</v>
      </c>
      <c r="Z580">
        <v>56</v>
      </c>
      <c r="AA580">
        <v>2</v>
      </c>
      <c r="AB580" t="s">
        <v>31</v>
      </c>
    </row>
    <row r="581" spans="1:28">
      <c r="A581" t="str">
        <f>"600698"</f>
        <v>600698</v>
      </c>
      <c r="B581" t="s">
        <v>744</v>
      </c>
      <c r="C581">
        <v>1.69</v>
      </c>
      <c r="D581">
        <v>3.61</v>
      </c>
      <c r="E581">
        <v>0.06</v>
      </c>
      <c r="F581">
        <v>3.61</v>
      </c>
      <c r="G581">
        <v>3.62</v>
      </c>
      <c r="H581">
        <v>25561</v>
      </c>
      <c r="I581">
        <v>1</v>
      </c>
      <c r="J581">
        <v>0</v>
      </c>
      <c r="K581">
        <v>0.6</v>
      </c>
      <c r="L581">
        <v>3.57</v>
      </c>
      <c r="M581">
        <v>3.62</v>
      </c>
      <c r="N581">
        <v>3.54</v>
      </c>
      <c r="O581">
        <v>3.55</v>
      </c>
      <c r="P581">
        <v>65.510000000000005</v>
      </c>
      <c r="Q581">
        <v>9152262</v>
      </c>
      <c r="R581">
        <v>0.66</v>
      </c>
      <c r="S581" t="s">
        <v>175</v>
      </c>
      <c r="T581" t="s">
        <v>57</v>
      </c>
      <c r="U581">
        <v>2.25</v>
      </c>
      <c r="V581">
        <v>3.58</v>
      </c>
      <c r="W581">
        <v>12774</v>
      </c>
      <c r="X581">
        <v>12787</v>
      </c>
      <c r="Y581">
        <v>1</v>
      </c>
      <c r="Z581">
        <v>45</v>
      </c>
      <c r="AA581">
        <v>388</v>
      </c>
      <c r="AB581" t="s">
        <v>31</v>
      </c>
    </row>
    <row r="582" spans="1:28">
      <c r="A582" t="str">
        <f>"600699"</f>
        <v>600699</v>
      </c>
      <c r="B582" t="s">
        <v>745</v>
      </c>
      <c r="C582">
        <v>-3.3</v>
      </c>
      <c r="D582">
        <v>13.17</v>
      </c>
      <c r="E582">
        <v>-0.45</v>
      </c>
      <c r="F582">
        <v>13.16</v>
      </c>
      <c r="G582">
        <v>13.17</v>
      </c>
      <c r="H582">
        <v>40701</v>
      </c>
      <c r="I582">
        <v>18</v>
      </c>
      <c r="J582">
        <v>0.15</v>
      </c>
      <c r="K582">
        <v>2.19</v>
      </c>
      <c r="L582">
        <v>13.49</v>
      </c>
      <c r="M582">
        <v>13.49</v>
      </c>
      <c r="N582">
        <v>12.97</v>
      </c>
      <c r="O582">
        <v>13.62</v>
      </c>
      <c r="P582">
        <v>35.75</v>
      </c>
      <c r="Q582">
        <v>53843652</v>
      </c>
      <c r="R582">
        <v>0.93</v>
      </c>
      <c r="S582" t="s">
        <v>149</v>
      </c>
      <c r="T582" t="s">
        <v>191</v>
      </c>
      <c r="U582">
        <v>3.82</v>
      </c>
      <c r="V582">
        <v>13.23</v>
      </c>
      <c r="W582">
        <v>22131</v>
      </c>
      <c r="X582">
        <v>18570</v>
      </c>
      <c r="Y582">
        <v>1.19</v>
      </c>
      <c r="Z582">
        <v>21</v>
      </c>
      <c r="AA582">
        <v>2</v>
      </c>
      <c r="AB582" t="s">
        <v>31</v>
      </c>
    </row>
    <row r="583" spans="1:28">
      <c r="A583" t="str">
        <f>"600701"</f>
        <v>600701</v>
      </c>
      <c r="B583" t="s">
        <v>746</v>
      </c>
      <c r="C583">
        <v>1.99</v>
      </c>
      <c r="D583">
        <v>4.0999999999999996</v>
      </c>
      <c r="E583">
        <v>0.08</v>
      </c>
      <c r="F583">
        <v>4.0999999999999996</v>
      </c>
      <c r="G583">
        <v>4.1100000000000003</v>
      </c>
      <c r="H583">
        <v>29632</v>
      </c>
      <c r="I583">
        <v>50</v>
      </c>
      <c r="J583">
        <v>0.24</v>
      </c>
      <c r="K583">
        <v>0.59</v>
      </c>
      <c r="L583">
        <v>4.05</v>
      </c>
      <c r="M583">
        <v>4.0999999999999996</v>
      </c>
      <c r="N583">
        <v>4.01</v>
      </c>
      <c r="O583">
        <v>4.0199999999999996</v>
      </c>
      <c r="P583">
        <v>768.86</v>
      </c>
      <c r="Q583">
        <v>12067426</v>
      </c>
      <c r="R583">
        <v>0.48</v>
      </c>
      <c r="S583" t="s">
        <v>94</v>
      </c>
      <c r="T583" t="s">
        <v>85</v>
      </c>
      <c r="U583">
        <v>2.2400000000000002</v>
      </c>
      <c r="V583">
        <v>4.07</v>
      </c>
      <c r="W583">
        <v>14033</v>
      </c>
      <c r="X583">
        <v>15599</v>
      </c>
      <c r="Y583">
        <v>0.9</v>
      </c>
      <c r="Z583">
        <v>875</v>
      </c>
      <c r="AA583">
        <v>330</v>
      </c>
      <c r="AB583" t="s">
        <v>31</v>
      </c>
    </row>
    <row r="584" spans="1:28">
      <c r="A584" t="str">
        <f>"600702"</f>
        <v>600702</v>
      </c>
      <c r="B584" t="s">
        <v>747</v>
      </c>
      <c r="C584">
        <v>-0.69</v>
      </c>
      <c r="D584">
        <v>13</v>
      </c>
      <c r="E584">
        <v>-0.09</v>
      </c>
      <c r="F584">
        <v>13</v>
      </c>
      <c r="G584">
        <v>13.01</v>
      </c>
      <c r="H584">
        <v>29785</v>
      </c>
      <c r="I584">
        <v>38</v>
      </c>
      <c r="J584">
        <v>-0.15</v>
      </c>
      <c r="K584">
        <v>0.88</v>
      </c>
      <c r="L584">
        <v>13.06</v>
      </c>
      <c r="M584">
        <v>13.29</v>
      </c>
      <c r="N584">
        <v>12.8</v>
      </c>
      <c r="O584">
        <v>13.09</v>
      </c>
      <c r="P584">
        <v>439.24</v>
      </c>
      <c r="Q584">
        <v>38747868</v>
      </c>
      <c r="R584">
        <v>0.6</v>
      </c>
      <c r="S584" t="s">
        <v>291</v>
      </c>
      <c r="T584" t="s">
        <v>88</v>
      </c>
      <c r="U584">
        <v>3.74</v>
      </c>
      <c r="V584">
        <v>13.01</v>
      </c>
      <c r="W584">
        <v>14833</v>
      </c>
      <c r="X584">
        <v>14952</v>
      </c>
      <c r="Y584">
        <v>0.99</v>
      </c>
      <c r="Z584">
        <v>13</v>
      </c>
      <c r="AA584">
        <v>62</v>
      </c>
      <c r="AB584" t="s">
        <v>31</v>
      </c>
    </row>
    <row r="585" spans="1:28">
      <c r="A585" t="str">
        <f>"600703"</f>
        <v>600703</v>
      </c>
      <c r="B585" t="s">
        <v>748</v>
      </c>
      <c r="C585">
        <v>-0.76</v>
      </c>
      <c r="D585">
        <v>20.95</v>
      </c>
      <c r="E585">
        <v>-0.16</v>
      </c>
      <c r="F585">
        <v>20.92</v>
      </c>
      <c r="G585">
        <v>20.93</v>
      </c>
      <c r="H585">
        <v>101922</v>
      </c>
      <c r="I585">
        <v>10</v>
      </c>
      <c r="J585">
        <v>0.47</v>
      </c>
      <c r="K585">
        <v>0.76</v>
      </c>
      <c r="L585">
        <v>21.15</v>
      </c>
      <c r="M585">
        <v>21.63</v>
      </c>
      <c r="N585">
        <v>20.5</v>
      </c>
      <c r="O585">
        <v>21.11</v>
      </c>
      <c r="P585">
        <v>32.68</v>
      </c>
      <c r="Q585">
        <v>213340880</v>
      </c>
      <c r="R585">
        <v>1.18</v>
      </c>
      <c r="S585" t="s">
        <v>241</v>
      </c>
      <c r="T585" t="s">
        <v>37</v>
      </c>
      <c r="U585">
        <v>5.35</v>
      </c>
      <c r="V585">
        <v>20.93</v>
      </c>
      <c r="W585">
        <v>56401</v>
      </c>
      <c r="X585">
        <v>45521</v>
      </c>
      <c r="Y585">
        <v>1.24</v>
      </c>
      <c r="Z585">
        <v>39</v>
      </c>
      <c r="AA585">
        <v>283</v>
      </c>
      <c r="AB585" t="s">
        <v>31</v>
      </c>
    </row>
    <row r="586" spans="1:28">
      <c r="A586" t="str">
        <f>"600704"</f>
        <v>600704</v>
      </c>
      <c r="B586" t="s">
        <v>749</v>
      </c>
      <c r="C586">
        <v>4.1399999999999997</v>
      </c>
      <c r="D586">
        <v>9.81</v>
      </c>
      <c r="E586">
        <v>0.39</v>
      </c>
      <c r="F586">
        <v>9.7799999999999994</v>
      </c>
      <c r="G586">
        <v>9.7899999999999991</v>
      </c>
      <c r="H586">
        <v>94321</v>
      </c>
      <c r="I586">
        <v>223</v>
      </c>
      <c r="J586">
        <v>0.4</v>
      </c>
      <c r="K586">
        <v>1.19</v>
      </c>
      <c r="L586">
        <v>9.42</v>
      </c>
      <c r="M586">
        <v>9.9</v>
      </c>
      <c r="N586">
        <v>9.26</v>
      </c>
      <c r="O586">
        <v>9.42</v>
      </c>
      <c r="P586">
        <v>17.21</v>
      </c>
      <c r="Q586">
        <v>90432056</v>
      </c>
      <c r="R586">
        <v>0.96</v>
      </c>
      <c r="S586" t="s">
        <v>109</v>
      </c>
      <c r="T586" t="s">
        <v>95</v>
      </c>
      <c r="U586">
        <v>6.79</v>
      </c>
      <c r="V586">
        <v>9.59</v>
      </c>
      <c r="W586">
        <v>31099</v>
      </c>
      <c r="X586">
        <v>63222</v>
      </c>
      <c r="Y586">
        <v>0.49</v>
      </c>
      <c r="Z586">
        <v>575</v>
      </c>
      <c r="AA586">
        <v>149</v>
      </c>
      <c r="AB586" t="s">
        <v>31</v>
      </c>
    </row>
    <row r="587" spans="1:28">
      <c r="A587" t="str">
        <f>"600705"</f>
        <v>600705</v>
      </c>
      <c r="B587" t="s">
        <v>750</v>
      </c>
      <c r="C587">
        <v>1.63</v>
      </c>
      <c r="D587">
        <v>18.079999999999998</v>
      </c>
      <c r="E587">
        <v>0.28999999999999998</v>
      </c>
      <c r="F587">
        <v>18.079999999999998</v>
      </c>
      <c r="G587">
        <v>18.09</v>
      </c>
      <c r="H587">
        <v>96700</v>
      </c>
      <c r="I587">
        <v>3</v>
      </c>
      <c r="J587">
        <v>0</v>
      </c>
      <c r="K587">
        <v>1.3</v>
      </c>
      <c r="L587">
        <v>17.79</v>
      </c>
      <c r="M587">
        <v>18.170000000000002</v>
      </c>
      <c r="N587">
        <v>17.600000000000001</v>
      </c>
      <c r="O587">
        <v>17.79</v>
      </c>
      <c r="P587">
        <v>29.81</v>
      </c>
      <c r="Q587">
        <v>173158112</v>
      </c>
      <c r="R587">
        <v>0.56000000000000005</v>
      </c>
      <c r="S587" t="s">
        <v>692</v>
      </c>
      <c r="T587" t="s">
        <v>85</v>
      </c>
      <c r="U587">
        <v>3.2</v>
      </c>
      <c r="V587">
        <v>17.91</v>
      </c>
      <c r="W587">
        <v>43031</v>
      </c>
      <c r="X587">
        <v>53669</v>
      </c>
      <c r="Y587">
        <v>0.8</v>
      </c>
      <c r="Z587">
        <v>66</v>
      </c>
      <c r="AA587">
        <v>264</v>
      </c>
      <c r="AB587" t="s">
        <v>31</v>
      </c>
    </row>
    <row r="588" spans="1:28">
      <c r="A588" t="str">
        <f>"600706"</f>
        <v>600706</v>
      </c>
      <c r="B588" t="s">
        <v>751</v>
      </c>
      <c r="C588">
        <v>1.1299999999999999</v>
      </c>
      <c r="D588">
        <v>11.65</v>
      </c>
      <c r="E588">
        <v>0.13</v>
      </c>
      <c r="F588">
        <v>11.64</v>
      </c>
      <c r="G588">
        <v>11.65</v>
      </c>
      <c r="H588">
        <v>21780</v>
      </c>
      <c r="I588">
        <v>1</v>
      </c>
      <c r="J588">
        <v>0.43</v>
      </c>
      <c r="K588">
        <v>2.56</v>
      </c>
      <c r="L588">
        <v>11.42</v>
      </c>
      <c r="M588">
        <v>11.68</v>
      </c>
      <c r="N588">
        <v>11.35</v>
      </c>
      <c r="O588">
        <v>11.52</v>
      </c>
      <c r="P588">
        <v>29.52</v>
      </c>
      <c r="Q588">
        <v>25149612</v>
      </c>
      <c r="R588">
        <v>0.87</v>
      </c>
      <c r="S588" t="s">
        <v>228</v>
      </c>
      <c r="T588" t="s">
        <v>147</v>
      </c>
      <c r="U588">
        <v>2.86</v>
      </c>
      <c r="V588">
        <v>11.55</v>
      </c>
      <c r="W588">
        <v>12157</v>
      </c>
      <c r="X588">
        <v>9623</v>
      </c>
      <c r="Y588">
        <v>1.26</v>
      </c>
      <c r="Z588">
        <v>8</v>
      </c>
      <c r="AA588">
        <v>58</v>
      </c>
      <c r="AB588" t="s">
        <v>31</v>
      </c>
    </row>
    <row r="589" spans="1:28">
      <c r="A589" t="str">
        <f>"600707"</f>
        <v>600707</v>
      </c>
      <c r="B589" t="s">
        <v>752</v>
      </c>
      <c r="C589">
        <v>1.9</v>
      </c>
      <c r="D589">
        <v>5.37</v>
      </c>
      <c r="E589">
        <v>0.1</v>
      </c>
      <c r="F589">
        <v>5.37</v>
      </c>
      <c r="G589">
        <v>5.38</v>
      </c>
      <c r="H589">
        <v>36776</v>
      </c>
      <c r="I589">
        <v>200</v>
      </c>
      <c r="J589">
        <v>-0.55000000000000004</v>
      </c>
      <c r="K589">
        <v>0.5</v>
      </c>
      <c r="L589">
        <v>5.25</v>
      </c>
      <c r="M589">
        <v>5.4</v>
      </c>
      <c r="N589">
        <v>5.24</v>
      </c>
      <c r="O589">
        <v>5.27</v>
      </c>
      <c r="P589" t="s">
        <v>31</v>
      </c>
      <c r="Q589">
        <v>19617998</v>
      </c>
      <c r="R589">
        <v>0.52</v>
      </c>
      <c r="S589" t="s">
        <v>153</v>
      </c>
      <c r="T589" t="s">
        <v>147</v>
      </c>
      <c r="U589">
        <v>3.04</v>
      </c>
      <c r="V589">
        <v>5.33</v>
      </c>
      <c r="W589">
        <v>16201</v>
      </c>
      <c r="X589">
        <v>20575</v>
      </c>
      <c r="Y589">
        <v>0.79</v>
      </c>
      <c r="Z589">
        <v>200</v>
      </c>
      <c r="AA589">
        <v>5</v>
      </c>
      <c r="AB589" t="s">
        <v>31</v>
      </c>
    </row>
    <row r="590" spans="1:28">
      <c r="A590" t="str">
        <f>"600708"</f>
        <v>600708</v>
      </c>
      <c r="B590" t="s">
        <v>753</v>
      </c>
      <c r="C590">
        <v>-0.54</v>
      </c>
      <c r="D590">
        <v>7.43</v>
      </c>
      <c r="E590">
        <v>-0.04</v>
      </c>
      <c r="F590">
        <v>7.42</v>
      </c>
      <c r="G590">
        <v>7.43</v>
      </c>
      <c r="H590">
        <v>68485</v>
      </c>
      <c r="I590">
        <v>486</v>
      </c>
      <c r="J590">
        <v>-0.13</v>
      </c>
      <c r="K590">
        <v>1.35</v>
      </c>
      <c r="L590">
        <v>7.38</v>
      </c>
      <c r="M590">
        <v>7.49</v>
      </c>
      <c r="N590">
        <v>7.32</v>
      </c>
      <c r="O590">
        <v>7.47</v>
      </c>
      <c r="P590">
        <v>33.15</v>
      </c>
      <c r="Q590">
        <v>50800016</v>
      </c>
      <c r="R590">
        <v>0.34</v>
      </c>
      <c r="S590" t="s">
        <v>94</v>
      </c>
      <c r="T590" t="s">
        <v>30</v>
      </c>
      <c r="U590">
        <v>2.2799999999999998</v>
      </c>
      <c r="V590">
        <v>7.42</v>
      </c>
      <c r="W590">
        <v>38022</v>
      </c>
      <c r="X590">
        <v>30463</v>
      </c>
      <c r="Y590">
        <v>1.25</v>
      </c>
      <c r="Z590">
        <v>45</v>
      </c>
      <c r="AA590">
        <v>303</v>
      </c>
      <c r="AB590" t="s">
        <v>31</v>
      </c>
    </row>
    <row r="591" spans="1:28">
      <c r="A591" t="str">
        <f>"600710"</f>
        <v>600710</v>
      </c>
      <c r="B591" t="s">
        <v>754</v>
      </c>
      <c r="C591">
        <v>2.65</v>
      </c>
      <c r="D591">
        <v>3.1</v>
      </c>
      <c r="E591">
        <v>0.08</v>
      </c>
      <c r="F591">
        <v>3.09</v>
      </c>
      <c r="G591">
        <v>3.1</v>
      </c>
      <c r="H591">
        <v>31190</v>
      </c>
      <c r="I591">
        <v>79</v>
      </c>
      <c r="J591">
        <v>0</v>
      </c>
      <c r="K591">
        <v>0.49</v>
      </c>
      <c r="L591">
        <v>3.02</v>
      </c>
      <c r="M591">
        <v>3.11</v>
      </c>
      <c r="N591">
        <v>3</v>
      </c>
      <c r="O591">
        <v>3.02</v>
      </c>
      <c r="P591" t="s">
        <v>31</v>
      </c>
      <c r="Q591">
        <v>9555680</v>
      </c>
      <c r="R591">
        <v>0.64</v>
      </c>
      <c r="S591" t="s">
        <v>75</v>
      </c>
      <c r="T591" t="s">
        <v>120</v>
      </c>
      <c r="U591">
        <v>3.64</v>
      </c>
      <c r="V591">
        <v>3.06</v>
      </c>
      <c r="W591">
        <v>11340</v>
      </c>
      <c r="X591">
        <v>19850</v>
      </c>
      <c r="Y591">
        <v>0.56999999999999995</v>
      </c>
      <c r="Z591">
        <v>275</v>
      </c>
      <c r="AA591">
        <v>57</v>
      </c>
      <c r="AB591" t="s">
        <v>31</v>
      </c>
    </row>
    <row r="592" spans="1:28">
      <c r="A592" t="str">
        <f>"600711"</f>
        <v>600711</v>
      </c>
      <c r="B592" t="s">
        <v>755</v>
      </c>
      <c r="C592">
        <v>0.55000000000000004</v>
      </c>
      <c r="D592">
        <v>9.1999999999999993</v>
      </c>
      <c r="E592">
        <v>0.05</v>
      </c>
      <c r="F592">
        <v>9.1999999999999993</v>
      </c>
      <c r="G592">
        <v>9.2100000000000009</v>
      </c>
      <c r="H592">
        <v>20701</v>
      </c>
      <c r="I592">
        <v>5</v>
      </c>
      <c r="J592">
        <v>0.54</v>
      </c>
      <c r="K592">
        <v>1.17</v>
      </c>
      <c r="L592">
        <v>9.15</v>
      </c>
      <c r="M592">
        <v>9.23</v>
      </c>
      <c r="N592">
        <v>9</v>
      </c>
      <c r="O592">
        <v>9.15</v>
      </c>
      <c r="P592">
        <v>58.91</v>
      </c>
      <c r="Q592">
        <v>18915496</v>
      </c>
      <c r="R592">
        <v>0.57999999999999996</v>
      </c>
      <c r="S592" t="s">
        <v>193</v>
      </c>
      <c r="T592" t="s">
        <v>78</v>
      </c>
      <c r="U592">
        <v>2.5099999999999998</v>
      </c>
      <c r="V592">
        <v>9.14</v>
      </c>
      <c r="W592">
        <v>12216</v>
      </c>
      <c r="X592">
        <v>8485</v>
      </c>
      <c r="Y592">
        <v>1.44</v>
      </c>
      <c r="Z592">
        <v>27</v>
      </c>
      <c r="AA592">
        <v>258</v>
      </c>
      <c r="AB592" t="s">
        <v>31</v>
      </c>
    </row>
    <row r="593" spans="1:28">
      <c r="A593" t="str">
        <f>"600712"</f>
        <v>600712</v>
      </c>
      <c r="B593" t="s">
        <v>756</v>
      </c>
      <c r="C593">
        <v>-0.94</v>
      </c>
      <c r="D593">
        <v>4.21</v>
      </c>
      <c r="E593">
        <v>-0.04</v>
      </c>
      <c r="F593">
        <v>4.21</v>
      </c>
      <c r="G593">
        <v>4.22</v>
      </c>
      <c r="H593">
        <v>36457</v>
      </c>
      <c r="I593">
        <v>100</v>
      </c>
      <c r="J593">
        <v>0</v>
      </c>
      <c r="K593">
        <v>0.68</v>
      </c>
      <c r="L593">
        <v>4.2</v>
      </c>
      <c r="M593">
        <v>4.2300000000000004</v>
      </c>
      <c r="N593">
        <v>4.16</v>
      </c>
      <c r="O593">
        <v>4.25</v>
      </c>
      <c r="P593">
        <v>70.7</v>
      </c>
      <c r="Q593">
        <v>15295311</v>
      </c>
      <c r="R593">
        <v>0.79</v>
      </c>
      <c r="S593" t="s">
        <v>374</v>
      </c>
      <c r="T593" t="s">
        <v>333</v>
      </c>
      <c r="U593">
        <v>1.65</v>
      </c>
      <c r="V593">
        <v>4.2</v>
      </c>
      <c r="W593">
        <v>21853</v>
      </c>
      <c r="X593">
        <v>14604</v>
      </c>
      <c r="Y593">
        <v>1.5</v>
      </c>
      <c r="Z593">
        <v>325</v>
      </c>
      <c r="AA593">
        <v>270</v>
      </c>
      <c r="AB593" t="s">
        <v>31</v>
      </c>
    </row>
    <row r="594" spans="1:28">
      <c r="A594" t="str">
        <f>"600713"</f>
        <v>600713</v>
      </c>
      <c r="B594" t="s">
        <v>757</v>
      </c>
      <c r="C594">
        <v>3.79</v>
      </c>
      <c r="D594">
        <v>5.2</v>
      </c>
      <c r="E594">
        <v>0.19</v>
      </c>
      <c r="F594">
        <v>5.19</v>
      </c>
      <c r="G594">
        <v>5.2</v>
      </c>
      <c r="H594">
        <v>67342</v>
      </c>
      <c r="I594">
        <v>4</v>
      </c>
      <c r="J594">
        <v>0.19</v>
      </c>
      <c r="K594">
        <v>0.97</v>
      </c>
      <c r="L594">
        <v>5</v>
      </c>
      <c r="M594">
        <v>5.21</v>
      </c>
      <c r="N594">
        <v>4.97</v>
      </c>
      <c r="O594">
        <v>5.01</v>
      </c>
      <c r="P594">
        <v>109.76</v>
      </c>
      <c r="Q594">
        <v>34469020</v>
      </c>
      <c r="R594">
        <v>1</v>
      </c>
      <c r="S594" t="s">
        <v>156</v>
      </c>
      <c r="T594" t="s">
        <v>120</v>
      </c>
      <c r="U594">
        <v>4.79</v>
      </c>
      <c r="V594">
        <v>5.12</v>
      </c>
      <c r="W594">
        <v>23422</v>
      </c>
      <c r="X594">
        <v>43920</v>
      </c>
      <c r="Y594">
        <v>0.53</v>
      </c>
      <c r="Z594">
        <v>226</v>
      </c>
      <c r="AA594">
        <v>373</v>
      </c>
      <c r="AB594" t="s">
        <v>31</v>
      </c>
    </row>
    <row r="595" spans="1:28">
      <c r="A595" t="str">
        <f>"600714"</f>
        <v>600714</v>
      </c>
      <c r="B595" t="s">
        <v>758</v>
      </c>
      <c r="C595">
        <v>1.33</v>
      </c>
      <c r="D595">
        <v>7.64</v>
      </c>
      <c r="E595">
        <v>0.1</v>
      </c>
      <c r="F595">
        <v>7.63</v>
      </c>
      <c r="G595">
        <v>7.64</v>
      </c>
      <c r="H595">
        <v>10893</v>
      </c>
      <c r="I595">
        <v>13</v>
      </c>
      <c r="J595">
        <v>0.39</v>
      </c>
      <c r="K595">
        <v>0.4</v>
      </c>
      <c r="L595">
        <v>7.56</v>
      </c>
      <c r="M595">
        <v>7.69</v>
      </c>
      <c r="N595">
        <v>7.5</v>
      </c>
      <c r="O595">
        <v>7.54</v>
      </c>
      <c r="P595">
        <v>103.43</v>
      </c>
      <c r="Q595">
        <v>8288596</v>
      </c>
      <c r="R595">
        <v>0.72</v>
      </c>
      <c r="S595" t="s">
        <v>208</v>
      </c>
      <c r="T595" t="s">
        <v>203</v>
      </c>
      <c r="U595">
        <v>2.52</v>
      </c>
      <c r="V595">
        <v>7.61</v>
      </c>
      <c r="W595">
        <v>6981</v>
      </c>
      <c r="X595">
        <v>3912</v>
      </c>
      <c r="Y595">
        <v>1.78</v>
      </c>
      <c r="Z595">
        <v>12</v>
      </c>
      <c r="AA595">
        <v>88</v>
      </c>
      <c r="AB595" t="s">
        <v>31</v>
      </c>
    </row>
    <row r="596" spans="1:28">
      <c r="A596" t="str">
        <f>"600715"</f>
        <v>600715</v>
      </c>
      <c r="B596" t="s">
        <v>759</v>
      </c>
      <c r="C596">
        <v>2.31</v>
      </c>
      <c r="D596">
        <v>5.31</v>
      </c>
      <c r="E596">
        <v>0.12</v>
      </c>
      <c r="F596">
        <v>5.29</v>
      </c>
      <c r="G596">
        <v>5.31</v>
      </c>
      <c r="H596">
        <v>22590</v>
      </c>
      <c r="I596">
        <v>2</v>
      </c>
      <c r="J596">
        <v>0.56000000000000005</v>
      </c>
      <c r="K596">
        <v>1.01</v>
      </c>
      <c r="L596">
        <v>5.23</v>
      </c>
      <c r="M596">
        <v>5.42</v>
      </c>
      <c r="N596">
        <v>5.16</v>
      </c>
      <c r="O596">
        <v>5.19</v>
      </c>
      <c r="P596" t="s">
        <v>31</v>
      </c>
      <c r="Q596">
        <v>11878771</v>
      </c>
      <c r="R596">
        <v>0.56999999999999995</v>
      </c>
      <c r="S596" t="s">
        <v>149</v>
      </c>
      <c r="T596" t="s">
        <v>142</v>
      </c>
      <c r="U596">
        <v>5.01</v>
      </c>
      <c r="V596">
        <v>5.26</v>
      </c>
      <c r="W596">
        <v>11178</v>
      </c>
      <c r="X596">
        <v>11412</v>
      </c>
      <c r="Y596">
        <v>0.98</v>
      </c>
      <c r="Z596">
        <v>328</v>
      </c>
      <c r="AA596">
        <v>129</v>
      </c>
      <c r="AB596" t="s">
        <v>31</v>
      </c>
    </row>
    <row r="597" spans="1:28">
      <c r="A597" t="str">
        <f>"600716"</f>
        <v>600716</v>
      </c>
      <c r="B597" t="s">
        <v>760</v>
      </c>
      <c r="C597">
        <v>1.07</v>
      </c>
      <c r="D597">
        <v>5.68</v>
      </c>
      <c r="E597">
        <v>0.06</v>
      </c>
      <c r="F597">
        <v>5.68</v>
      </c>
      <c r="G597">
        <v>5.69</v>
      </c>
      <c r="H597">
        <v>36443</v>
      </c>
      <c r="I597">
        <v>1</v>
      </c>
      <c r="J597">
        <v>1.42</v>
      </c>
      <c r="K597">
        <v>0.49</v>
      </c>
      <c r="L597">
        <v>5.56</v>
      </c>
      <c r="M597">
        <v>5.69</v>
      </c>
      <c r="N597">
        <v>5.56</v>
      </c>
      <c r="O597">
        <v>5.62</v>
      </c>
      <c r="P597">
        <v>194.83</v>
      </c>
      <c r="Q597">
        <v>20482056</v>
      </c>
      <c r="R597">
        <v>0.42</v>
      </c>
      <c r="S597" t="s">
        <v>97</v>
      </c>
      <c r="T597" t="s">
        <v>120</v>
      </c>
      <c r="U597">
        <v>2.31</v>
      </c>
      <c r="V597">
        <v>5.62</v>
      </c>
      <c r="W597">
        <v>20199</v>
      </c>
      <c r="X597">
        <v>16244</v>
      </c>
      <c r="Y597">
        <v>1.24</v>
      </c>
      <c r="Z597">
        <v>95</v>
      </c>
      <c r="AA597">
        <v>214</v>
      </c>
      <c r="AB597" t="s">
        <v>31</v>
      </c>
    </row>
    <row r="598" spans="1:28">
      <c r="A598" t="str">
        <f>"600717"</f>
        <v>600717</v>
      </c>
      <c r="B598" t="s">
        <v>761</v>
      </c>
      <c r="C598">
        <v>9.9600000000000009</v>
      </c>
      <c r="D598">
        <v>8.61</v>
      </c>
      <c r="E598">
        <v>0.78</v>
      </c>
      <c r="F598">
        <v>8.6</v>
      </c>
      <c r="G598">
        <v>8.61</v>
      </c>
      <c r="H598">
        <v>451233</v>
      </c>
      <c r="I598">
        <v>192</v>
      </c>
      <c r="J598">
        <v>0.11</v>
      </c>
      <c r="K598">
        <v>2.69</v>
      </c>
      <c r="L598">
        <v>7.78</v>
      </c>
      <c r="M598">
        <v>8.61</v>
      </c>
      <c r="N598">
        <v>7.63</v>
      </c>
      <c r="O598">
        <v>7.83</v>
      </c>
      <c r="P598">
        <v>12.88</v>
      </c>
      <c r="Q598">
        <v>374870464</v>
      </c>
      <c r="R598">
        <v>0.99</v>
      </c>
      <c r="S598" t="s">
        <v>56</v>
      </c>
      <c r="T598" t="s">
        <v>151</v>
      </c>
      <c r="U598">
        <v>12.52</v>
      </c>
      <c r="V598">
        <v>8.31</v>
      </c>
      <c r="W598">
        <v>184565</v>
      </c>
      <c r="X598">
        <v>266668</v>
      </c>
      <c r="Y598">
        <v>0.69</v>
      </c>
      <c r="Z598">
        <v>222</v>
      </c>
      <c r="AA598">
        <v>2018</v>
      </c>
      <c r="AB598" t="s">
        <v>31</v>
      </c>
    </row>
    <row r="599" spans="1:28">
      <c r="A599" t="str">
        <f>"600718"</f>
        <v>600718</v>
      </c>
      <c r="B599" t="s">
        <v>762</v>
      </c>
      <c r="C599">
        <v>3.06</v>
      </c>
      <c r="D599">
        <v>14.15</v>
      </c>
      <c r="E599">
        <v>0.42</v>
      </c>
      <c r="F599">
        <v>14.15</v>
      </c>
      <c r="G599">
        <v>14.16</v>
      </c>
      <c r="H599">
        <v>129735</v>
      </c>
      <c r="I599">
        <v>7</v>
      </c>
      <c r="J599">
        <v>0.14000000000000001</v>
      </c>
      <c r="K599">
        <v>1.06</v>
      </c>
      <c r="L599">
        <v>13.8</v>
      </c>
      <c r="M599">
        <v>14.38</v>
      </c>
      <c r="N599">
        <v>13.66</v>
      </c>
      <c r="O599">
        <v>13.73</v>
      </c>
      <c r="P599">
        <v>46.21</v>
      </c>
      <c r="Q599">
        <v>183022688</v>
      </c>
      <c r="R599">
        <v>0.56999999999999995</v>
      </c>
      <c r="S599" t="s">
        <v>383</v>
      </c>
      <c r="T599" t="s">
        <v>142</v>
      </c>
      <c r="U599">
        <v>5.24</v>
      </c>
      <c r="V599">
        <v>14.11</v>
      </c>
      <c r="W599">
        <v>66799</v>
      </c>
      <c r="X599">
        <v>62936</v>
      </c>
      <c r="Y599">
        <v>1.06</v>
      </c>
      <c r="Z599">
        <v>18</v>
      </c>
      <c r="AA599">
        <v>20</v>
      </c>
      <c r="AB599" t="s">
        <v>31</v>
      </c>
    </row>
    <row r="600" spans="1:28">
      <c r="A600" t="str">
        <f>"600719"</f>
        <v>600719</v>
      </c>
      <c r="B600" t="s">
        <v>763</v>
      </c>
      <c r="C600">
        <v>3.06</v>
      </c>
      <c r="D600">
        <v>6.39</v>
      </c>
      <c r="E600">
        <v>0.19</v>
      </c>
      <c r="F600">
        <v>6.39</v>
      </c>
      <c r="G600">
        <v>6.4</v>
      </c>
      <c r="H600">
        <v>13175</v>
      </c>
      <c r="I600">
        <v>9</v>
      </c>
      <c r="J600">
        <v>0.15</v>
      </c>
      <c r="K600">
        <v>0.65</v>
      </c>
      <c r="L600">
        <v>6.21</v>
      </c>
      <c r="M600">
        <v>6.52</v>
      </c>
      <c r="N600">
        <v>6.2</v>
      </c>
      <c r="O600">
        <v>6.2</v>
      </c>
      <c r="P600" t="s">
        <v>31</v>
      </c>
      <c r="Q600">
        <v>8385304</v>
      </c>
      <c r="R600">
        <v>0.59</v>
      </c>
      <c r="S600" t="s">
        <v>257</v>
      </c>
      <c r="T600" t="s">
        <v>142</v>
      </c>
      <c r="U600">
        <v>5.16</v>
      </c>
      <c r="V600">
        <v>6.36</v>
      </c>
      <c r="W600">
        <v>5589</v>
      </c>
      <c r="X600">
        <v>7586</v>
      </c>
      <c r="Y600">
        <v>0.74</v>
      </c>
      <c r="Z600">
        <v>91</v>
      </c>
      <c r="AA600">
        <v>127</v>
      </c>
      <c r="AB600" t="s">
        <v>31</v>
      </c>
    </row>
    <row r="601" spans="1:28">
      <c r="A601" t="str">
        <f>"600720"</f>
        <v>600720</v>
      </c>
      <c r="B601" t="s">
        <v>764</v>
      </c>
      <c r="C601">
        <v>1.63</v>
      </c>
      <c r="D601">
        <v>6.85</v>
      </c>
      <c r="E601">
        <v>0.11</v>
      </c>
      <c r="F601">
        <v>6.84</v>
      </c>
      <c r="G601">
        <v>6.85</v>
      </c>
      <c r="H601">
        <v>106043</v>
      </c>
      <c r="I601">
        <v>2</v>
      </c>
      <c r="J601">
        <v>-0.14000000000000001</v>
      </c>
      <c r="K601">
        <v>1.37</v>
      </c>
      <c r="L601">
        <v>6.76</v>
      </c>
      <c r="M601">
        <v>6.86</v>
      </c>
      <c r="N601">
        <v>6.69</v>
      </c>
      <c r="O601">
        <v>6.74</v>
      </c>
      <c r="P601">
        <v>10.92</v>
      </c>
      <c r="Q601">
        <v>71850672</v>
      </c>
      <c r="R601">
        <v>0.66</v>
      </c>
      <c r="S601" t="s">
        <v>312</v>
      </c>
      <c r="T601" t="s">
        <v>188</v>
      </c>
      <c r="U601">
        <v>2.52</v>
      </c>
      <c r="V601">
        <v>6.78</v>
      </c>
      <c r="W601">
        <v>62385</v>
      </c>
      <c r="X601">
        <v>43658</v>
      </c>
      <c r="Y601">
        <v>1.43</v>
      </c>
      <c r="Z601">
        <v>63</v>
      </c>
      <c r="AA601">
        <v>183</v>
      </c>
      <c r="AB601" t="s">
        <v>31</v>
      </c>
    </row>
    <row r="602" spans="1:28">
      <c r="A602" t="str">
        <f>"600721"</f>
        <v>600721</v>
      </c>
      <c r="B602" t="s">
        <v>765</v>
      </c>
      <c r="C602">
        <v>-1.37</v>
      </c>
      <c r="D602">
        <v>7.19</v>
      </c>
      <c r="E602">
        <v>-0.1</v>
      </c>
      <c r="F602">
        <v>7.19</v>
      </c>
      <c r="G602">
        <v>7.2</v>
      </c>
      <c r="H602">
        <v>17521</v>
      </c>
      <c r="I602">
        <v>21</v>
      </c>
      <c r="J602">
        <v>0.41</v>
      </c>
      <c r="K602">
        <v>1.46</v>
      </c>
      <c r="L602">
        <v>7.21</v>
      </c>
      <c r="M602">
        <v>7.25</v>
      </c>
      <c r="N602">
        <v>7</v>
      </c>
      <c r="O602">
        <v>7.29</v>
      </c>
      <c r="P602">
        <v>70.66</v>
      </c>
      <c r="Q602">
        <v>12510649</v>
      </c>
      <c r="R602">
        <v>1.1100000000000001</v>
      </c>
      <c r="S602" t="s">
        <v>272</v>
      </c>
      <c r="T602" t="s">
        <v>138</v>
      </c>
      <c r="U602">
        <v>3.43</v>
      </c>
      <c r="V602">
        <v>7.14</v>
      </c>
      <c r="W602">
        <v>10243</v>
      </c>
      <c r="X602">
        <v>7278</v>
      </c>
      <c r="Y602">
        <v>1.41</v>
      </c>
      <c r="Z602">
        <v>183</v>
      </c>
      <c r="AA602">
        <v>69</v>
      </c>
      <c r="AB602" t="s">
        <v>31</v>
      </c>
    </row>
    <row r="603" spans="1:28">
      <c r="A603" t="str">
        <f>"600722"</f>
        <v>600722</v>
      </c>
      <c r="B603" t="s">
        <v>766</v>
      </c>
      <c r="C603">
        <v>-0.19</v>
      </c>
      <c r="D603">
        <v>5.12</v>
      </c>
      <c r="E603">
        <v>-0.01</v>
      </c>
      <c r="F603">
        <v>5.1100000000000003</v>
      </c>
      <c r="G603">
        <v>5.13</v>
      </c>
      <c r="H603">
        <v>35897</v>
      </c>
      <c r="I603">
        <v>200</v>
      </c>
      <c r="J603">
        <v>0</v>
      </c>
      <c r="K603">
        <v>0.85</v>
      </c>
      <c r="L603">
        <v>5.14</v>
      </c>
      <c r="M603">
        <v>5.22</v>
      </c>
      <c r="N603">
        <v>5.08</v>
      </c>
      <c r="O603">
        <v>5.13</v>
      </c>
      <c r="P603" t="s">
        <v>31</v>
      </c>
      <c r="Q603">
        <v>18446272</v>
      </c>
      <c r="R603">
        <v>0.63</v>
      </c>
      <c r="S603" t="s">
        <v>137</v>
      </c>
      <c r="T603" t="s">
        <v>224</v>
      </c>
      <c r="U603">
        <v>2.73</v>
      </c>
      <c r="V603">
        <v>5.14</v>
      </c>
      <c r="W603">
        <v>22093</v>
      </c>
      <c r="X603">
        <v>13804</v>
      </c>
      <c r="Y603">
        <v>1.6</v>
      </c>
      <c r="Z603">
        <v>41</v>
      </c>
      <c r="AA603">
        <v>200</v>
      </c>
      <c r="AB603" t="s">
        <v>31</v>
      </c>
    </row>
    <row r="604" spans="1:28">
      <c r="A604" t="str">
        <f>"600723"</f>
        <v>600723</v>
      </c>
      <c r="B604" t="s">
        <v>767</v>
      </c>
      <c r="C604">
        <v>1.62</v>
      </c>
      <c r="D604">
        <v>6.29</v>
      </c>
      <c r="E604">
        <v>0.1</v>
      </c>
      <c r="F604">
        <v>6.29</v>
      </c>
      <c r="G604">
        <v>6.3</v>
      </c>
      <c r="H604">
        <v>21878</v>
      </c>
      <c r="I604">
        <v>50</v>
      </c>
      <c r="J604">
        <v>0.15</v>
      </c>
      <c r="K604">
        <v>0.69</v>
      </c>
      <c r="L604">
        <v>6.23</v>
      </c>
      <c r="M604">
        <v>6.3</v>
      </c>
      <c r="N604">
        <v>6.16</v>
      </c>
      <c r="O604">
        <v>6.19</v>
      </c>
      <c r="P604">
        <v>10.23</v>
      </c>
      <c r="Q604">
        <v>13631736</v>
      </c>
      <c r="R604">
        <v>0.46</v>
      </c>
      <c r="S604" t="s">
        <v>374</v>
      </c>
      <c r="T604" t="s">
        <v>42</v>
      </c>
      <c r="U604">
        <v>2.2599999999999998</v>
      </c>
      <c r="V604">
        <v>6.23</v>
      </c>
      <c r="W604">
        <v>10586</v>
      </c>
      <c r="X604">
        <v>11292</v>
      </c>
      <c r="Y604">
        <v>0.94</v>
      </c>
      <c r="Z604">
        <v>36</v>
      </c>
      <c r="AA604">
        <v>170</v>
      </c>
      <c r="AB604" t="s">
        <v>31</v>
      </c>
    </row>
    <row r="605" spans="1:28">
      <c r="A605" t="str">
        <f>"600724"</f>
        <v>600724</v>
      </c>
      <c r="B605" t="s">
        <v>768</v>
      </c>
      <c r="C605">
        <v>0.74</v>
      </c>
      <c r="D605">
        <v>4.1100000000000003</v>
      </c>
      <c r="E605">
        <v>0.03</v>
      </c>
      <c r="F605">
        <v>4.1100000000000003</v>
      </c>
      <c r="G605">
        <v>4.12</v>
      </c>
      <c r="H605">
        <v>16152</v>
      </c>
      <c r="I605">
        <v>7</v>
      </c>
      <c r="J605">
        <v>-0.24</v>
      </c>
      <c r="K605">
        <v>0.11</v>
      </c>
      <c r="L605">
        <v>4.07</v>
      </c>
      <c r="M605">
        <v>4.12</v>
      </c>
      <c r="N605">
        <v>4.03</v>
      </c>
      <c r="O605">
        <v>4.08</v>
      </c>
      <c r="P605">
        <v>12.37</v>
      </c>
      <c r="Q605">
        <v>6588393</v>
      </c>
      <c r="R605">
        <v>0.52</v>
      </c>
      <c r="S605" t="s">
        <v>97</v>
      </c>
      <c r="T605" t="s">
        <v>95</v>
      </c>
      <c r="U605">
        <v>2.21</v>
      </c>
      <c r="V605">
        <v>4.08</v>
      </c>
      <c r="W605">
        <v>8240</v>
      </c>
      <c r="X605">
        <v>7912</v>
      </c>
      <c r="Y605">
        <v>1.04</v>
      </c>
      <c r="Z605">
        <v>3</v>
      </c>
      <c r="AA605">
        <v>193</v>
      </c>
      <c r="AB605" t="s">
        <v>31</v>
      </c>
    </row>
    <row r="606" spans="1:28">
      <c r="A606" t="str">
        <f>"600725"</f>
        <v>600725</v>
      </c>
      <c r="B606" t="s">
        <v>769</v>
      </c>
      <c r="C606">
        <v>10.15</v>
      </c>
      <c r="D606">
        <v>3.58</v>
      </c>
      <c r="E606">
        <v>0.33</v>
      </c>
      <c r="F606">
        <v>3.58</v>
      </c>
      <c r="G606" t="s">
        <v>31</v>
      </c>
      <c r="H606">
        <v>95834</v>
      </c>
      <c r="I606">
        <v>30</v>
      </c>
      <c r="J606">
        <v>0</v>
      </c>
      <c r="K606">
        <v>1.56</v>
      </c>
      <c r="L606">
        <v>3.31</v>
      </c>
      <c r="M606">
        <v>3.58</v>
      </c>
      <c r="N606">
        <v>3.31</v>
      </c>
      <c r="O606">
        <v>3.25</v>
      </c>
      <c r="P606" t="s">
        <v>31</v>
      </c>
      <c r="Q606">
        <v>33765256</v>
      </c>
      <c r="R606">
        <v>3.57</v>
      </c>
      <c r="S606" t="s">
        <v>272</v>
      </c>
      <c r="T606" t="s">
        <v>170</v>
      </c>
      <c r="U606">
        <v>8.31</v>
      </c>
      <c r="V606">
        <v>3.52</v>
      </c>
      <c r="W606">
        <v>56290</v>
      </c>
      <c r="X606">
        <v>39544</v>
      </c>
      <c r="Y606">
        <v>1.42</v>
      </c>
      <c r="Z606">
        <v>67800</v>
      </c>
      <c r="AA606">
        <v>0</v>
      </c>
      <c r="AB606" t="s">
        <v>31</v>
      </c>
    </row>
    <row r="607" spans="1:28">
      <c r="A607" t="str">
        <f>"600726"</f>
        <v>600726</v>
      </c>
      <c r="B607" t="s">
        <v>770</v>
      </c>
      <c r="C607">
        <v>3.88</v>
      </c>
      <c r="D607">
        <v>2.68</v>
      </c>
      <c r="E607">
        <v>0.1</v>
      </c>
      <c r="F607">
        <v>2.67</v>
      </c>
      <c r="G607">
        <v>2.68</v>
      </c>
      <c r="H607">
        <v>189616</v>
      </c>
      <c r="I607">
        <v>15</v>
      </c>
      <c r="J607">
        <v>0</v>
      </c>
      <c r="K607">
        <v>2.63</v>
      </c>
      <c r="L607">
        <v>2.57</v>
      </c>
      <c r="M607">
        <v>2.76</v>
      </c>
      <c r="N607">
        <v>2.54</v>
      </c>
      <c r="O607">
        <v>2.58</v>
      </c>
      <c r="P607" t="s">
        <v>31</v>
      </c>
      <c r="Q607">
        <v>50678736</v>
      </c>
      <c r="R607">
        <v>2.2200000000000002</v>
      </c>
      <c r="S607" t="s">
        <v>49</v>
      </c>
      <c r="T607" t="s">
        <v>85</v>
      </c>
      <c r="U607">
        <v>8.5299999999999994</v>
      </c>
      <c r="V607">
        <v>2.67</v>
      </c>
      <c r="W607">
        <v>85431</v>
      </c>
      <c r="X607">
        <v>104185</v>
      </c>
      <c r="Y607">
        <v>0.82</v>
      </c>
      <c r="Z607">
        <v>1634</v>
      </c>
      <c r="AA607">
        <v>1276</v>
      </c>
      <c r="AB607" t="s">
        <v>31</v>
      </c>
    </row>
    <row r="608" spans="1:28">
      <c r="A608" t="str">
        <f>"600727"</f>
        <v>600727</v>
      </c>
      <c r="B608" t="s">
        <v>771</v>
      </c>
      <c r="C608">
        <v>0</v>
      </c>
      <c r="D608">
        <v>4.6399999999999997</v>
      </c>
      <c r="E608">
        <v>0</v>
      </c>
      <c r="F608" t="s">
        <v>31</v>
      </c>
      <c r="G608" t="s">
        <v>31</v>
      </c>
      <c r="H608">
        <v>0</v>
      </c>
      <c r="I608">
        <v>0</v>
      </c>
      <c r="J608">
        <v>0</v>
      </c>
      <c r="K608">
        <v>0</v>
      </c>
      <c r="L608" t="s">
        <v>31</v>
      </c>
      <c r="M608" t="s">
        <v>31</v>
      </c>
      <c r="N608" t="s">
        <v>31</v>
      </c>
      <c r="O608">
        <v>4.6399999999999997</v>
      </c>
      <c r="P608">
        <v>81.319999999999993</v>
      </c>
      <c r="Q608">
        <v>0</v>
      </c>
      <c r="R608">
        <v>0</v>
      </c>
      <c r="S608" t="s">
        <v>169</v>
      </c>
      <c r="T608" t="s">
        <v>57</v>
      </c>
      <c r="U608">
        <v>0</v>
      </c>
      <c r="V608">
        <v>4.6399999999999997</v>
      </c>
      <c r="W608">
        <v>0</v>
      </c>
      <c r="X608">
        <v>0</v>
      </c>
      <c r="Y608" t="s">
        <v>31</v>
      </c>
      <c r="Z608">
        <v>0</v>
      </c>
      <c r="AA608">
        <v>0</v>
      </c>
      <c r="AB608" t="s">
        <v>31</v>
      </c>
    </row>
    <row r="609" spans="1:28">
      <c r="A609" t="str">
        <f>"600728"</f>
        <v>600728</v>
      </c>
      <c r="B609" t="s">
        <v>772</v>
      </c>
      <c r="C609">
        <v>1.67</v>
      </c>
      <c r="D609">
        <v>12.16</v>
      </c>
      <c r="E609">
        <v>0.2</v>
      </c>
      <c r="F609">
        <v>12.14</v>
      </c>
      <c r="G609">
        <v>12.15</v>
      </c>
      <c r="H609">
        <v>99189</v>
      </c>
      <c r="I609">
        <v>16</v>
      </c>
      <c r="J609">
        <v>-0.24</v>
      </c>
      <c r="K609">
        <v>2.73</v>
      </c>
      <c r="L609">
        <v>12.07</v>
      </c>
      <c r="M609">
        <v>12.25</v>
      </c>
      <c r="N609">
        <v>11.87</v>
      </c>
      <c r="O609">
        <v>11.96</v>
      </c>
      <c r="P609" t="s">
        <v>31</v>
      </c>
      <c r="Q609">
        <v>120261384</v>
      </c>
      <c r="R609">
        <v>0.86</v>
      </c>
      <c r="S609" t="s">
        <v>383</v>
      </c>
      <c r="T609" t="s">
        <v>34</v>
      </c>
      <c r="U609">
        <v>3.18</v>
      </c>
      <c r="V609">
        <v>12.12</v>
      </c>
      <c r="W609">
        <v>49397</v>
      </c>
      <c r="X609">
        <v>49792</v>
      </c>
      <c r="Y609">
        <v>0.99</v>
      </c>
      <c r="Z609">
        <v>13</v>
      </c>
      <c r="AA609">
        <v>384</v>
      </c>
      <c r="AB609" t="s">
        <v>31</v>
      </c>
    </row>
    <row r="610" spans="1:28">
      <c r="A610" t="str">
        <f>"600729"</f>
        <v>600729</v>
      </c>
      <c r="B610" t="s">
        <v>773</v>
      </c>
      <c r="C610">
        <v>2.39</v>
      </c>
      <c r="D610">
        <v>21.4</v>
      </c>
      <c r="E610">
        <v>0.5</v>
      </c>
      <c r="F610">
        <v>21.37</v>
      </c>
      <c r="G610">
        <v>21.4</v>
      </c>
      <c r="H610">
        <v>26273</v>
      </c>
      <c r="I610">
        <v>49</v>
      </c>
      <c r="J610">
        <v>0.18</v>
      </c>
      <c r="K610">
        <v>1.92</v>
      </c>
      <c r="L610">
        <v>20.9</v>
      </c>
      <c r="M610">
        <v>21.48</v>
      </c>
      <c r="N610">
        <v>20.9</v>
      </c>
      <c r="O610">
        <v>20.9</v>
      </c>
      <c r="P610">
        <v>9.82</v>
      </c>
      <c r="Q610">
        <v>55691436</v>
      </c>
      <c r="R610">
        <v>0.61</v>
      </c>
      <c r="S610" t="s">
        <v>374</v>
      </c>
      <c r="T610" t="s">
        <v>184</v>
      </c>
      <c r="U610">
        <v>2.78</v>
      </c>
      <c r="V610">
        <v>21.2</v>
      </c>
      <c r="W610">
        <v>12373</v>
      </c>
      <c r="X610">
        <v>13900</v>
      </c>
      <c r="Y610">
        <v>0.89</v>
      </c>
      <c r="Z610">
        <v>41</v>
      </c>
      <c r="AA610">
        <v>14</v>
      </c>
      <c r="AB610" t="s">
        <v>31</v>
      </c>
    </row>
    <row r="611" spans="1:28">
      <c r="A611" t="str">
        <f>"600730"</f>
        <v>600730</v>
      </c>
      <c r="B611" t="s">
        <v>774</v>
      </c>
      <c r="C611">
        <v>3.73</v>
      </c>
      <c r="D611">
        <v>9.4499999999999993</v>
      </c>
      <c r="E611">
        <v>0.34</v>
      </c>
      <c r="F611">
        <v>9.43</v>
      </c>
      <c r="G611">
        <v>9.44</v>
      </c>
      <c r="H611">
        <v>32202</v>
      </c>
      <c r="I611">
        <v>158</v>
      </c>
      <c r="J611">
        <v>0.1</v>
      </c>
      <c r="K611">
        <v>1.1000000000000001</v>
      </c>
      <c r="L611">
        <v>9.11</v>
      </c>
      <c r="M611">
        <v>9.4499999999999993</v>
      </c>
      <c r="N611">
        <v>9.02</v>
      </c>
      <c r="O611">
        <v>9.11</v>
      </c>
      <c r="P611" t="s">
        <v>31</v>
      </c>
      <c r="Q611">
        <v>29939232</v>
      </c>
      <c r="R611">
        <v>0.59</v>
      </c>
      <c r="S611" t="s">
        <v>94</v>
      </c>
      <c r="T611" t="s">
        <v>30</v>
      </c>
      <c r="U611">
        <v>4.72</v>
      </c>
      <c r="V611">
        <v>9.3000000000000007</v>
      </c>
      <c r="W611">
        <v>15881</v>
      </c>
      <c r="X611">
        <v>16321</v>
      </c>
      <c r="Y611">
        <v>0.97</v>
      </c>
      <c r="Z611">
        <v>109</v>
      </c>
      <c r="AA611">
        <v>178</v>
      </c>
      <c r="AB611" t="s">
        <v>31</v>
      </c>
    </row>
    <row r="612" spans="1:28">
      <c r="A612" t="str">
        <f>"600731"</f>
        <v>600731</v>
      </c>
      <c r="B612" t="s">
        <v>775</v>
      </c>
      <c r="C612">
        <v>1.01</v>
      </c>
      <c r="D612">
        <v>7</v>
      </c>
      <c r="E612">
        <v>7.0000000000000007E-2</v>
      </c>
      <c r="F612">
        <v>6.99</v>
      </c>
      <c r="G612">
        <v>7</v>
      </c>
      <c r="H612">
        <v>11496</v>
      </c>
      <c r="I612">
        <v>10</v>
      </c>
      <c r="J612">
        <v>0.43</v>
      </c>
      <c r="K612">
        <v>0.45</v>
      </c>
      <c r="L612">
        <v>6.88</v>
      </c>
      <c r="M612">
        <v>7.02</v>
      </c>
      <c r="N612">
        <v>6.86</v>
      </c>
      <c r="O612">
        <v>6.93</v>
      </c>
      <c r="P612">
        <v>180.48</v>
      </c>
      <c r="Q612">
        <v>7992294</v>
      </c>
      <c r="R612">
        <v>0.49</v>
      </c>
      <c r="S612" t="s">
        <v>169</v>
      </c>
      <c r="T612" t="s">
        <v>76</v>
      </c>
      <c r="U612">
        <v>2.31</v>
      </c>
      <c r="V612">
        <v>6.95</v>
      </c>
      <c r="W612">
        <v>4722</v>
      </c>
      <c r="X612">
        <v>6774</v>
      </c>
      <c r="Y612">
        <v>0.7</v>
      </c>
      <c r="Z612">
        <v>83</v>
      </c>
      <c r="AA612">
        <v>7</v>
      </c>
      <c r="AB612" t="s">
        <v>31</v>
      </c>
    </row>
    <row r="613" spans="1:28">
      <c r="A613" t="str">
        <f>"600732"</f>
        <v>600732</v>
      </c>
      <c r="B613" t="s">
        <v>776</v>
      </c>
      <c r="C613">
        <v>2.46</v>
      </c>
      <c r="D613">
        <v>4.59</v>
      </c>
      <c r="E613">
        <v>0.11</v>
      </c>
      <c r="F613">
        <v>4.59</v>
      </c>
      <c r="G613">
        <v>4.5999999999999996</v>
      </c>
      <c r="H613">
        <v>54088</v>
      </c>
      <c r="I613">
        <v>7</v>
      </c>
      <c r="J613">
        <v>-0.21</v>
      </c>
      <c r="K613">
        <v>1.32</v>
      </c>
      <c r="L613">
        <v>4.49</v>
      </c>
      <c r="M613">
        <v>4.5999999999999996</v>
      </c>
      <c r="N613">
        <v>4.45</v>
      </c>
      <c r="O613">
        <v>4.4800000000000004</v>
      </c>
      <c r="P613" t="s">
        <v>31</v>
      </c>
      <c r="Q613">
        <v>24663684</v>
      </c>
      <c r="R613">
        <v>0.54</v>
      </c>
      <c r="S613" t="s">
        <v>97</v>
      </c>
      <c r="T613" t="s">
        <v>30</v>
      </c>
      <c r="U613">
        <v>3.35</v>
      </c>
      <c r="V613">
        <v>4.5599999999999996</v>
      </c>
      <c r="W613">
        <v>24116</v>
      </c>
      <c r="X613">
        <v>29972</v>
      </c>
      <c r="Y613">
        <v>0.8</v>
      </c>
      <c r="Z613">
        <v>492</v>
      </c>
      <c r="AA613">
        <v>366</v>
      </c>
      <c r="AB613" t="s">
        <v>31</v>
      </c>
    </row>
    <row r="614" spans="1:28">
      <c r="A614" t="str">
        <f>"600733"</f>
        <v>600733</v>
      </c>
      <c r="B614" t="s">
        <v>777</v>
      </c>
      <c r="C614">
        <v>-0.1</v>
      </c>
      <c r="D614">
        <v>19.190000000000001</v>
      </c>
      <c r="E614">
        <v>-0.02</v>
      </c>
      <c r="F614">
        <v>19.18</v>
      </c>
      <c r="G614">
        <v>19.2</v>
      </c>
      <c r="H614">
        <v>8413</v>
      </c>
      <c r="I614">
        <v>28</v>
      </c>
      <c r="J614">
        <v>0.05</v>
      </c>
      <c r="K614">
        <v>1.1100000000000001</v>
      </c>
      <c r="L614">
        <v>19.27</v>
      </c>
      <c r="M614">
        <v>19.52</v>
      </c>
      <c r="N614">
        <v>19</v>
      </c>
      <c r="O614">
        <v>19.21</v>
      </c>
      <c r="P614">
        <v>81.2</v>
      </c>
      <c r="Q614">
        <v>16127469</v>
      </c>
      <c r="R614">
        <v>0.33</v>
      </c>
      <c r="S614" t="s">
        <v>97</v>
      </c>
      <c r="T614" t="s">
        <v>88</v>
      </c>
      <c r="U614">
        <v>2.71</v>
      </c>
      <c r="V614">
        <v>19.170000000000002</v>
      </c>
      <c r="W614">
        <v>5285</v>
      </c>
      <c r="X614">
        <v>3128</v>
      </c>
      <c r="Y614">
        <v>1.69</v>
      </c>
      <c r="Z614">
        <v>23</v>
      </c>
      <c r="AA614">
        <v>5</v>
      </c>
      <c r="AB614" t="s">
        <v>31</v>
      </c>
    </row>
    <row r="615" spans="1:28">
      <c r="A615" t="str">
        <f>"600734"</f>
        <v>600734</v>
      </c>
      <c r="B615" t="s">
        <v>778</v>
      </c>
      <c r="C615">
        <v>3.84</v>
      </c>
      <c r="D615">
        <v>4.87</v>
      </c>
      <c r="E615">
        <v>0.18</v>
      </c>
      <c r="F615">
        <v>4.87</v>
      </c>
      <c r="G615">
        <v>4.88</v>
      </c>
      <c r="H615">
        <v>87683</v>
      </c>
      <c r="I615">
        <v>4</v>
      </c>
      <c r="J615">
        <v>0.41</v>
      </c>
      <c r="K615">
        <v>2.93</v>
      </c>
      <c r="L615">
        <v>4.67</v>
      </c>
      <c r="M615">
        <v>4.97</v>
      </c>
      <c r="N615">
        <v>4.67</v>
      </c>
      <c r="O615">
        <v>4.6900000000000004</v>
      </c>
      <c r="P615" t="s">
        <v>31</v>
      </c>
      <c r="Q615">
        <v>42615752</v>
      </c>
      <c r="R615">
        <v>3.04</v>
      </c>
      <c r="S615" t="s">
        <v>177</v>
      </c>
      <c r="T615" t="s">
        <v>78</v>
      </c>
      <c r="U615">
        <v>6.4</v>
      </c>
      <c r="V615">
        <v>4.8600000000000003</v>
      </c>
      <c r="W615">
        <v>33527</v>
      </c>
      <c r="X615">
        <v>54156</v>
      </c>
      <c r="Y615">
        <v>0.62</v>
      </c>
      <c r="Z615">
        <v>142</v>
      </c>
      <c r="AA615">
        <v>58</v>
      </c>
      <c r="AB615" t="s">
        <v>31</v>
      </c>
    </row>
    <row r="616" spans="1:28">
      <c r="A616" t="str">
        <f>"600735"</f>
        <v>600735</v>
      </c>
      <c r="B616" t="s">
        <v>779</v>
      </c>
      <c r="C616">
        <v>0.68</v>
      </c>
      <c r="D616">
        <v>7.39</v>
      </c>
      <c r="E616">
        <v>0.05</v>
      </c>
      <c r="F616">
        <v>7.38</v>
      </c>
      <c r="G616">
        <v>7.39</v>
      </c>
      <c r="H616">
        <v>43497</v>
      </c>
      <c r="I616">
        <v>15</v>
      </c>
      <c r="J616">
        <v>-0.13</v>
      </c>
      <c r="K616">
        <v>2.08</v>
      </c>
      <c r="L616">
        <v>7.32</v>
      </c>
      <c r="M616">
        <v>7.43</v>
      </c>
      <c r="N616">
        <v>7.15</v>
      </c>
      <c r="O616">
        <v>7.34</v>
      </c>
      <c r="P616">
        <v>41.94</v>
      </c>
      <c r="Q616">
        <v>31674936</v>
      </c>
      <c r="R616">
        <v>0.48</v>
      </c>
      <c r="S616" t="s">
        <v>127</v>
      </c>
      <c r="T616" t="s">
        <v>57</v>
      </c>
      <c r="U616">
        <v>3.81</v>
      </c>
      <c r="V616">
        <v>7.28</v>
      </c>
      <c r="W616">
        <v>22904</v>
      </c>
      <c r="X616">
        <v>20593</v>
      </c>
      <c r="Y616">
        <v>1.1100000000000001</v>
      </c>
      <c r="Z616">
        <v>93</v>
      </c>
      <c r="AA616">
        <v>82</v>
      </c>
      <c r="AB616" t="s">
        <v>31</v>
      </c>
    </row>
    <row r="617" spans="1:28">
      <c r="A617" t="str">
        <f>"600736"</f>
        <v>600736</v>
      </c>
      <c r="B617" t="s">
        <v>780</v>
      </c>
      <c r="C617">
        <v>1.06</v>
      </c>
      <c r="D617">
        <v>3.81</v>
      </c>
      <c r="E617">
        <v>0.04</v>
      </c>
      <c r="F617">
        <v>3.8</v>
      </c>
      <c r="G617">
        <v>3.81</v>
      </c>
      <c r="H617">
        <v>58164</v>
      </c>
      <c r="I617">
        <v>6</v>
      </c>
      <c r="J617">
        <v>0</v>
      </c>
      <c r="K617">
        <v>0.55000000000000004</v>
      </c>
      <c r="L617">
        <v>3.76</v>
      </c>
      <c r="M617">
        <v>3.82</v>
      </c>
      <c r="N617">
        <v>3.75</v>
      </c>
      <c r="O617">
        <v>3.77</v>
      </c>
      <c r="P617">
        <v>23.19</v>
      </c>
      <c r="Q617">
        <v>21986076</v>
      </c>
      <c r="R617">
        <v>0.32</v>
      </c>
      <c r="S617" t="s">
        <v>41</v>
      </c>
      <c r="T617" t="s">
        <v>120</v>
      </c>
      <c r="U617">
        <v>1.86</v>
      </c>
      <c r="V617">
        <v>3.78</v>
      </c>
      <c r="W617">
        <v>28224</v>
      </c>
      <c r="X617">
        <v>29940</v>
      </c>
      <c r="Y617">
        <v>0.94</v>
      </c>
      <c r="Z617">
        <v>266</v>
      </c>
      <c r="AA617">
        <v>301</v>
      </c>
      <c r="AB617" t="s">
        <v>31</v>
      </c>
    </row>
    <row r="618" spans="1:28">
      <c r="A618" t="str">
        <f>"600737"</f>
        <v>600737</v>
      </c>
      <c r="B618" t="s">
        <v>781</v>
      </c>
      <c r="C618">
        <v>0.18</v>
      </c>
      <c r="D618">
        <v>5.61</v>
      </c>
      <c r="E618">
        <v>0.01</v>
      </c>
      <c r="F618">
        <v>5.61</v>
      </c>
      <c r="G618">
        <v>5.62</v>
      </c>
      <c r="H618">
        <v>53511</v>
      </c>
      <c r="I618">
        <v>208</v>
      </c>
      <c r="J618">
        <v>0.17</v>
      </c>
      <c r="K618">
        <v>0.66</v>
      </c>
      <c r="L618">
        <v>5.59</v>
      </c>
      <c r="M618">
        <v>5.62</v>
      </c>
      <c r="N618">
        <v>5.5</v>
      </c>
      <c r="O618">
        <v>5.6</v>
      </c>
      <c r="P618">
        <v>63.53</v>
      </c>
      <c r="Q618">
        <v>29763212</v>
      </c>
      <c r="R618">
        <v>0.83</v>
      </c>
      <c r="S618" t="s">
        <v>133</v>
      </c>
      <c r="T618" t="s">
        <v>138</v>
      </c>
      <c r="U618">
        <v>2.14</v>
      </c>
      <c r="V618">
        <v>5.56</v>
      </c>
      <c r="W618">
        <v>28363</v>
      </c>
      <c r="X618">
        <v>25148</v>
      </c>
      <c r="Y618">
        <v>1.1299999999999999</v>
      </c>
      <c r="Z618">
        <v>20</v>
      </c>
      <c r="AA618">
        <v>1297</v>
      </c>
      <c r="AB618" t="s">
        <v>31</v>
      </c>
    </row>
    <row r="619" spans="1:28">
      <c r="A619" t="str">
        <f>"600738"</f>
        <v>600738</v>
      </c>
      <c r="B619" t="s">
        <v>782</v>
      </c>
      <c r="C619">
        <v>1.47</v>
      </c>
      <c r="D619">
        <v>5.54</v>
      </c>
      <c r="E619">
        <v>0.08</v>
      </c>
      <c r="F619">
        <v>5.52</v>
      </c>
      <c r="G619">
        <v>5.54</v>
      </c>
      <c r="H619">
        <v>22019</v>
      </c>
      <c r="I619">
        <v>13</v>
      </c>
      <c r="J619">
        <v>0.18</v>
      </c>
      <c r="K619">
        <v>0.84</v>
      </c>
      <c r="L619">
        <v>5.46</v>
      </c>
      <c r="M619">
        <v>5.56</v>
      </c>
      <c r="N619">
        <v>5.44</v>
      </c>
      <c r="O619">
        <v>5.46</v>
      </c>
      <c r="P619">
        <v>17.38</v>
      </c>
      <c r="Q619">
        <v>12131481</v>
      </c>
      <c r="R619">
        <v>0.47</v>
      </c>
      <c r="S619" t="s">
        <v>374</v>
      </c>
      <c r="T619" t="s">
        <v>188</v>
      </c>
      <c r="U619">
        <v>2.2000000000000002</v>
      </c>
      <c r="V619">
        <v>5.51</v>
      </c>
      <c r="W619">
        <v>13523</v>
      </c>
      <c r="X619">
        <v>8496</v>
      </c>
      <c r="Y619">
        <v>1.59</v>
      </c>
      <c r="Z619">
        <v>304</v>
      </c>
      <c r="AA619">
        <v>126</v>
      </c>
      <c r="AB619" t="s">
        <v>31</v>
      </c>
    </row>
    <row r="620" spans="1:28">
      <c r="A620" t="str">
        <f>"600739"</f>
        <v>600739</v>
      </c>
      <c r="B620" t="s">
        <v>783</v>
      </c>
      <c r="C620">
        <v>6.14</v>
      </c>
      <c r="D620">
        <v>18.670000000000002</v>
      </c>
      <c r="E620">
        <v>1.08</v>
      </c>
      <c r="F620">
        <v>18.71</v>
      </c>
      <c r="G620">
        <v>18.72</v>
      </c>
      <c r="H620">
        <v>468586</v>
      </c>
      <c r="I620">
        <v>123</v>
      </c>
      <c r="J620">
        <v>1.19</v>
      </c>
      <c r="K620">
        <v>3.43</v>
      </c>
      <c r="L620">
        <v>17.600000000000001</v>
      </c>
      <c r="M620">
        <v>18.739999999999998</v>
      </c>
      <c r="N620">
        <v>17.53</v>
      </c>
      <c r="O620">
        <v>17.59</v>
      </c>
      <c r="P620">
        <v>29.5</v>
      </c>
      <c r="Q620">
        <v>851664000</v>
      </c>
      <c r="R620">
        <v>1.68</v>
      </c>
      <c r="S620" t="s">
        <v>109</v>
      </c>
      <c r="T620" t="s">
        <v>142</v>
      </c>
      <c r="U620">
        <v>6.88</v>
      </c>
      <c r="V620">
        <v>18.18</v>
      </c>
      <c r="W620">
        <v>192597</v>
      </c>
      <c r="X620">
        <v>275989</v>
      </c>
      <c r="Y620">
        <v>0.7</v>
      </c>
      <c r="Z620">
        <v>38</v>
      </c>
      <c r="AA620">
        <v>20</v>
      </c>
      <c r="AB620" t="s">
        <v>31</v>
      </c>
    </row>
    <row r="621" spans="1:28">
      <c r="A621" t="str">
        <f>"600740"</f>
        <v>600740</v>
      </c>
      <c r="B621" t="s">
        <v>784</v>
      </c>
      <c r="C621">
        <v>2.37</v>
      </c>
      <c r="D621">
        <v>6.05</v>
      </c>
      <c r="E621">
        <v>0.14000000000000001</v>
      </c>
      <c r="F621">
        <v>6.04</v>
      </c>
      <c r="G621">
        <v>6.05</v>
      </c>
      <c r="H621">
        <v>46001</v>
      </c>
      <c r="I621">
        <v>41</v>
      </c>
      <c r="J621">
        <v>0.16</v>
      </c>
      <c r="K621">
        <v>1.01</v>
      </c>
      <c r="L621">
        <v>5.94</v>
      </c>
      <c r="M621">
        <v>6.13</v>
      </c>
      <c r="N621">
        <v>5.84</v>
      </c>
      <c r="O621">
        <v>5.91</v>
      </c>
      <c r="P621">
        <v>182.9</v>
      </c>
      <c r="Q621">
        <v>27643350</v>
      </c>
      <c r="R621">
        <v>0.65</v>
      </c>
      <c r="S621" t="s">
        <v>272</v>
      </c>
      <c r="T621" t="s">
        <v>212</v>
      </c>
      <c r="U621">
        <v>4.91</v>
      </c>
      <c r="V621">
        <v>6.01</v>
      </c>
      <c r="W621">
        <v>21032</v>
      </c>
      <c r="X621">
        <v>24969</v>
      </c>
      <c r="Y621">
        <v>0.84</v>
      </c>
      <c r="Z621">
        <v>260</v>
      </c>
      <c r="AA621">
        <v>92</v>
      </c>
      <c r="AB621" t="s">
        <v>31</v>
      </c>
    </row>
    <row r="622" spans="1:28">
      <c r="A622" t="str">
        <f>"600741"</f>
        <v>600741</v>
      </c>
      <c r="B622" t="s">
        <v>785</v>
      </c>
      <c r="C622">
        <v>3.66</v>
      </c>
      <c r="D622">
        <v>10.49</v>
      </c>
      <c r="E622">
        <v>0.37</v>
      </c>
      <c r="F622">
        <v>10.48</v>
      </c>
      <c r="G622">
        <v>10.49</v>
      </c>
      <c r="H622">
        <v>207766</v>
      </c>
      <c r="I622">
        <v>5</v>
      </c>
      <c r="J622">
        <v>-0.09</v>
      </c>
      <c r="K622">
        <v>0.8</v>
      </c>
      <c r="L622">
        <v>10.16</v>
      </c>
      <c r="M622">
        <v>10.6</v>
      </c>
      <c r="N622">
        <v>10.07</v>
      </c>
      <c r="O622">
        <v>10.119999999999999</v>
      </c>
      <c r="P622">
        <v>7.91</v>
      </c>
      <c r="Q622">
        <v>216691952</v>
      </c>
      <c r="R622">
        <v>1</v>
      </c>
      <c r="S622" t="s">
        <v>149</v>
      </c>
      <c r="T622" t="s">
        <v>30</v>
      </c>
      <c r="U622">
        <v>5.24</v>
      </c>
      <c r="V622">
        <v>10.43</v>
      </c>
      <c r="W622">
        <v>79840</v>
      </c>
      <c r="X622">
        <v>127926</v>
      </c>
      <c r="Y622">
        <v>0.62</v>
      </c>
      <c r="Z622">
        <v>141</v>
      </c>
      <c r="AA622">
        <v>30</v>
      </c>
      <c r="AB622" t="s">
        <v>31</v>
      </c>
    </row>
    <row r="623" spans="1:28">
      <c r="A623" t="str">
        <f>"600742"</f>
        <v>600742</v>
      </c>
      <c r="B623" t="s">
        <v>786</v>
      </c>
      <c r="C623">
        <v>2.71</v>
      </c>
      <c r="D623">
        <v>16.66</v>
      </c>
      <c r="E623">
        <v>0.44</v>
      </c>
      <c r="F623">
        <v>16.64</v>
      </c>
      <c r="G623">
        <v>16.68</v>
      </c>
      <c r="H623">
        <v>31634</v>
      </c>
      <c r="I623">
        <v>275</v>
      </c>
      <c r="J623">
        <v>0.12</v>
      </c>
      <c r="K623">
        <v>1.5</v>
      </c>
      <c r="L623">
        <v>16.25</v>
      </c>
      <c r="M623">
        <v>16.68</v>
      </c>
      <c r="N623">
        <v>16.2</v>
      </c>
      <c r="O623">
        <v>16.22</v>
      </c>
      <c r="P623">
        <v>9.23</v>
      </c>
      <c r="Q623">
        <v>51998368</v>
      </c>
      <c r="R623">
        <v>0.54</v>
      </c>
      <c r="S623" t="s">
        <v>149</v>
      </c>
      <c r="T623" t="s">
        <v>191</v>
      </c>
      <c r="U623">
        <v>2.96</v>
      </c>
      <c r="V623">
        <v>16.440000000000001</v>
      </c>
      <c r="W623">
        <v>14466</v>
      </c>
      <c r="X623">
        <v>17168</v>
      </c>
      <c r="Y623">
        <v>0.84</v>
      </c>
      <c r="Z623">
        <v>4</v>
      </c>
      <c r="AA623">
        <v>88</v>
      </c>
      <c r="AB623" t="s">
        <v>31</v>
      </c>
    </row>
    <row r="624" spans="1:28">
      <c r="A624" t="str">
        <f>"600743"</f>
        <v>600743</v>
      </c>
      <c r="B624" t="s">
        <v>787</v>
      </c>
      <c r="C624">
        <v>0.37</v>
      </c>
      <c r="D624">
        <v>2.71</v>
      </c>
      <c r="E624">
        <v>0.01</v>
      </c>
      <c r="F624">
        <v>2.71</v>
      </c>
      <c r="G624">
        <v>2.72</v>
      </c>
      <c r="H624">
        <v>28844</v>
      </c>
      <c r="I624">
        <v>3</v>
      </c>
      <c r="J624">
        <v>0</v>
      </c>
      <c r="K624">
        <v>0.16</v>
      </c>
      <c r="L624">
        <v>2.7</v>
      </c>
      <c r="M624">
        <v>2.72</v>
      </c>
      <c r="N624">
        <v>2.64</v>
      </c>
      <c r="O624">
        <v>2.7</v>
      </c>
      <c r="P624">
        <v>11.83</v>
      </c>
      <c r="Q624">
        <v>7761078</v>
      </c>
      <c r="R624">
        <v>0.86</v>
      </c>
      <c r="S624" t="s">
        <v>97</v>
      </c>
      <c r="T624" t="s">
        <v>37</v>
      </c>
      <c r="U624">
        <v>2.96</v>
      </c>
      <c r="V624">
        <v>2.69</v>
      </c>
      <c r="W624">
        <v>15779</v>
      </c>
      <c r="X624">
        <v>13065</v>
      </c>
      <c r="Y624">
        <v>1.21</v>
      </c>
      <c r="Z624">
        <v>1134</v>
      </c>
      <c r="AA624">
        <v>1360</v>
      </c>
      <c r="AB624" t="s">
        <v>31</v>
      </c>
    </row>
    <row r="625" spans="1:28">
      <c r="A625" t="str">
        <f>"600744"</f>
        <v>600744</v>
      </c>
      <c r="B625" t="s">
        <v>788</v>
      </c>
      <c r="C625">
        <v>4.22</v>
      </c>
      <c r="D625">
        <v>3.46</v>
      </c>
      <c r="E625">
        <v>0.14000000000000001</v>
      </c>
      <c r="F625">
        <v>3.45</v>
      </c>
      <c r="G625">
        <v>3.46</v>
      </c>
      <c r="H625">
        <v>106419</v>
      </c>
      <c r="I625">
        <v>3</v>
      </c>
      <c r="J625">
        <v>0.28000000000000003</v>
      </c>
      <c r="K625">
        <v>2.2400000000000002</v>
      </c>
      <c r="L625">
        <v>3.31</v>
      </c>
      <c r="M625">
        <v>3.52</v>
      </c>
      <c r="N625">
        <v>3.29</v>
      </c>
      <c r="O625">
        <v>3.32</v>
      </c>
      <c r="P625" t="s">
        <v>31</v>
      </c>
      <c r="Q625">
        <v>36692520</v>
      </c>
      <c r="R625">
        <v>3.02</v>
      </c>
      <c r="S625" t="s">
        <v>49</v>
      </c>
      <c r="T625" t="s">
        <v>76</v>
      </c>
      <c r="U625">
        <v>6.93</v>
      </c>
      <c r="V625">
        <v>3.45</v>
      </c>
      <c r="W625">
        <v>43629</v>
      </c>
      <c r="X625">
        <v>62790</v>
      </c>
      <c r="Y625">
        <v>0.69</v>
      </c>
      <c r="Z625">
        <v>655</v>
      </c>
      <c r="AA625">
        <v>1342</v>
      </c>
      <c r="AB625" t="s">
        <v>31</v>
      </c>
    </row>
    <row r="626" spans="1:28">
      <c r="A626" t="str">
        <f>"600745"</f>
        <v>600745</v>
      </c>
      <c r="B626" t="s">
        <v>789</v>
      </c>
      <c r="C626">
        <v>-0.08</v>
      </c>
      <c r="D626">
        <v>12.81</v>
      </c>
      <c r="E626">
        <v>-0.01</v>
      </c>
      <c r="F626">
        <v>12.78</v>
      </c>
      <c r="G626">
        <v>12.8</v>
      </c>
      <c r="H626">
        <v>25302</v>
      </c>
      <c r="I626">
        <v>130</v>
      </c>
      <c r="J626">
        <v>7.0000000000000007E-2</v>
      </c>
      <c r="K626">
        <v>0.77</v>
      </c>
      <c r="L626">
        <v>12.66</v>
      </c>
      <c r="M626">
        <v>12.84</v>
      </c>
      <c r="N626">
        <v>12.45</v>
      </c>
      <c r="O626">
        <v>12.82</v>
      </c>
      <c r="P626">
        <v>91.45</v>
      </c>
      <c r="Q626">
        <v>31984508</v>
      </c>
      <c r="R626">
        <v>0.65</v>
      </c>
      <c r="S626" t="s">
        <v>97</v>
      </c>
      <c r="T626" t="s">
        <v>37</v>
      </c>
      <c r="U626">
        <v>3.04</v>
      </c>
      <c r="V626">
        <v>12.64</v>
      </c>
      <c r="W626">
        <v>12867</v>
      </c>
      <c r="X626">
        <v>12435</v>
      </c>
      <c r="Y626">
        <v>1.03</v>
      </c>
      <c r="Z626">
        <v>10</v>
      </c>
      <c r="AA626">
        <v>70</v>
      </c>
      <c r="AB626" t="s">
        <v>31</v>
      </c>
    </row>
    <row r="627" spans="1:28">
      <c r="A627" t="str">
        <f>"600746"</f>
        <v>600746</v>
      </c>
      <c r="B627" t="s">
        <v>790</v>
      </c>
      <c r="C627">
        <v>-0.17</v>
      </c>
      <c r="D627">
        <v>5.81</v>
      </c>
      <c r="E627">
        <v>-0.01</v>
      </c>
      <c r="F627">
        <v>5.81</v>
      </c>
      <c r="G627">
        <v>5.82</v>
      </c>
      <c r="H627">
        <v>18709</v>
      </c>
      <c r="I627">
        <v>110</v>
      </c>
      <c r="J627">
        <v>0.17</v>
      </c>
      <c r="K627">
        <v>0.61</v>
      </c>
      <c r="L627">
        <v>5.73</v>
      </c>
      <c r="M627">
        <v>5.84</v>
      </c>
      <c r="N627">
        <v>5.63</v>
      </c>
      <c r="O627">
        <v>5.82</v>
      </c>
      <c r="P627">
        <v>142.22999999999999</v>
      </c>
      <c r="Q627">
        <v>10742742</v>
      </c>
      <c r="R627">
        <v>0.72</v>
      </c>
      <c r="S627" t="s">
        <v>137</v>
      </c>
      <c r="T627" t="s">
        <v>120</v>
      </c>
      <c r="U627">
        <v>3.61</v>
      </c>
      <c r="V627">
        <v>5.74</v>
      </c>
      <c r="W627">
        <v>9881</v>
      </c>
      <c r="X627">
        <v>8828</v>
      </c>
      <c r="Y627">
        <v>1.1200000000000001</v>
      </c>
      <c r="Z627">
        <v>268</v>
      </c>
      <c r="AA627">
        <v>498</v>
      </c>
      <c r="AB627" t="s">
        <v>31</v>
      </c>
    </row>
    <row r="628" spans="1:28">
      <c r="A628" t="str">
        <f>"600747"</f>
        <v>600747</v>
      </c>
      <c r="B628" t="s">
        <v>791</v>
      </c>
      <c r="C628">
        <v>0.98</v>
      </c>
      <c r="D628">
        <v>4.12</v>
      </c>
      <c r="E628">
        <v>0.04</v>
      </c>
      <c r="F628">
        <v>4.1100000000000003</v>
      </c>
      <c r="G628">
        <v>4.12</v>
      </c>
      <c r="H628">
        <v>48069</v>
      </c>
      <c r="I628">
        <v>2</v>
      </c>
      <c r="J628">
        <v>0.48</v>
      </c>
      <c r="K628">
        <v>0.45</v>
      </c>
      <c r="L628">
        <v>4.08</v>
      </c>
      <c r="M628">
        <v>4.13</v>
      </c>
      <c r="N628">
        <v>4.04</v>
      </c>
      <c r="O628">
        <v>4.08</v>
      </c>
      <c r="P628" t="s">
        <v>31</v>
      </c>
      <c r="Q628">
        <v>19691676</v>
      </c>
      <c r="R628">
        <v>0.41</v>
      </c>
      <c r="S628" t="s">
        <v>153</v>
      </c>
      <c r="T628" t="s">
        <v>142</v>
      </c>
      <c r="U628">
        <v>2.21</v>
      </c>
      <c r="V628">
        <v>4.0999999999999996</v>
      </c>
      <c r="W628">
        <v>25084</v>
      </c>
      <c r="X628">
        <v>22985</v>
      </c>
      <c r="Y628">
        <v>1.0900000000000001</v>
      </c>
      <c r="Z628">
        <v>1265</v>
      </c>
      <c r="AA628">
        <v>830</v>
      </c>
      <c r="AB628" t="s">
        <v>31</v>
      </c>
    </row>
    <row r="629" spans="1:28">
      <c r="A629" t="str">
        <f>"600748"</f>
        <v>600748</v>
      </c>
      <c r="B629" t="s">
        <v>792</v>
      </c>
      <c r="C629">
        <v>1.47</v>
      </c>
      <c r="D629">
        <v>8.26</v>
      </c>
      <c r="E629">
        <v>0.12</v>
      </c>
      <c r="F629">
        <v>8.26</v>
      </c>
      <c r="G629">
        <v>8.27</v>
      </c>
      <c r="H629">
        <v>98835</v>
      </c>
      <c r="I629">
        <v>30</v>
      </c>
      <c r="J629">
        <v>0.12</v>
      </c>
      <c r="K629">
        <v>0.91</v>
      </c>
      <c r="L629">
        <v>8.1300000000000008</v>
      </c>
      <c r="M629">
        <v>8.2799999999999994</v>
      </c>
      <c r="N629">
        <v>7.91</v>
      </c>
      <c r="O629">
        <v>8.14</v>
      </c>
      <c r="P629">
        <v>15.36</v>
      </c>
      <c r="Q629">
        <v>80270136</v>
      </c>
      <c r="R629">
        <v>0.8</v>
      </c>
      <c r="S629" t="s">
        <v>90</v>
      </c>
      <c r="T629" t="s">
        <v>30</v>
      </c>
      <c r="U629">
        <v>4.55</v>
      </c>
      <c r="V629">
        <v>8.1199999999999992</v>
      </c>
      <c r="W629">
        <v>46346</v>
      </c>
      <c r="X629">
        <v>52489</v>
      </c>
      <c r="Y629">
        <v>0.88</v>
      </c>
      <c r="Z629">
        <v>288</v>
      </c>
      <c r="AA629">
        <v>247</v>
      </c>
      <c r="AB629" t="s">
        <v>31</v>
      </c>
    </row>
    <row r="630" spans="1:28">
      <c r="A630" t="str">
        <f>"600749"</f>
        <v>600749</v>
      </c>
      <c r="B630" t="s">
        <v>793</v>
      </c>
      <c r="C630">
        <v>2.86</v>
      </c>
      <c r="D630">
        <v>7.54</v>
      </c>
      <c r="E630">
        <v>0.21</v>
      </c>
      <c r="F630">
        <v>7.52</v>
      </c>
      <c r="G630">
        <v>7.53</v>
      </c>
      <c r="H630">
        <v>16223</v>
      </c>
      <c r="I630">
        <v>1</v>
      </c>
      <c r="J630">
        <v>0</v>
      </c>
      <c r="K630">
        <v>0.86</v>
      </c>
      <c r="L630">
        <v>7.33</v>
      </c>
      <c r="M630">
        <v>7.55</v>
      </c>
      <c r="N630">
        <v>7.29</v>
      </c>
      <c r="O630">
        <v>7.33</v>
      </c>
      <c r="P630">
        <v>70.38</v>
      </c>
      <c r="Q630">
        <v>12077729</v>
      </c>
      <c r="R630">
        <v>0.6</v>
      </c>
      <c r="S630" t="s">
        <v>101</v>
      </c>
      <c r="T630" t="s">
        <v>306</v>
      </c>
      <c r="U630">
        <v>3.55</v>
      </c>
      <c r="V630">
        <v>7.44</v>
      </c>
      <c r="W630">
        <v>7438</v>
      </c>
      <c r="X630">
        <v>8785</v>
      </c>
      <c r="Y630">
        <v>0.85</v>
      </c>
      <c r="Z630">
        <v>31</v>
      </c>
      <c r="AA630">
        <v>22</v>
      </c>
      <c r="AB630" t="s">
        <v>31</v>
      </c>
    </row>
    <row r="631" spans="1:28">
      <c r="A631" t="str">
        <f>"600750"</f>
        <v>600750</v>
      </c>
      <c r="B631" t="s">
        <v>794</v>
      </c>
      <c r="C631">
        <v>2.1</v>
      </c>
      <c r="D631">
        <v>16.02</v>
      </c>
      <c r="E631">
        <v>0.33</v>
      </c>
      <c r="F631">
        <v>16.010000000000002</v>
      </c>
      <c r="G631">
        <v>16.03</v>
      </c>
      <c r="H631">
        <v>62493</v>
      </c>
      <c r="I631">
        <v>85</v>
      </c>
      <c r="J631">
        <v>-0.06</v>
      </c>
      <c r="K631">
        <v>2.0099999999999998</v>
      </c>
      <c r="L631">
        <v>15.69</v>
      </c>
      <c r="M631">
        <v>16.13</v>
      </c>
      <c r="N631">
        <v>15.49</v>
      </c>
      <c r="O631">
        <v>15.69</v>
      </c>
      <c r="P631">
        <v>26.86</v>
      </c>
      <c r="Q631">
        <v>98757992</v>
      </c>
      <c r="R631">
        <v>0.56999999999999995</v>
      </c>
      <c r="S631" t="s">
        <v>156</v>
      </c>
      <c r="T631" t="s">
        <v>99</v>
      </c>
      <c r="U631">
        <v>4.08</v>
      </c>
      <c r="V631">
        <v>15.8</v>
      </c>
      <c r="W631">
        <v>34453</v>
      </c>
      <c r="X631">
        <v>28040</v>
      </c>
      <c r="Y631">
        <v>1.23</v>
      </c>
      <c r="Z631">
        <v>74</v>
      </c>
      <c r="AA631">
        <v>237</v>
      </c>
      <c r="AB631" t="s">
        <v>31</v>
      </c>
    </row>
    <row r="632" spans="1:28">
      <c r="A632" t="str">
        <f>"600751"</f>
        <v>600751</v>
      </c>
      <c r="B632" t="s">
        <v>795</v>
      </c>
      <c r="C632">
        <v>10.08</v>
      </c>
      <c r="D632">
        <v>5.57</v>
      </c>
      <c r="E632">
        <v>0.51</v>
      </c>
      <c r="F632">
        <v>5.57</v>
      </c>
      <c r="G632" t="s">
        <v>31</v>
      </c>
      <c r="H632">
        <v>230796</v>
      </c>
      <c r="I632">
        <v>18</v>
      </c>
      <c r="J632">
        <v>0</v>
      </c>
      <c r="K632">
        <v>9.7100000000000009</v>
      </c>
      <c r="L632">
        <v>5.0199999999999996</v>
      </c>
      <c r="M632">
        <v>5.57</v>
      </c>
      <c r="N632">
        <v>4.91</v>
      </c>
      <c r="O632">
        <v>5.0599999999999996</v>
      </c>
      <c r="P632" t="s">
        <v>31</v>
      </c>
      <c r="Q632">
        <v>121782208</v>
      </c>
      <c r="R632">
        <v>0.65</v>
      </c>
      <c r="S632" t="s">
        <v>65</v>
      </c>
      <c r="T632" t="s">
        <v>151</v>
      </c>
      <c r="U632">
        <v>13.04</v>
      </c>
      <c r="V632">
        <v>5.28</v>
      </c>
      <c r="W632">
        <v>111220</v>
      </c>
      <c r="X632">
        <v>119576</v>
      </c>
      <c r="Y632">
        <v>0.93</v>
      </c>
      <c r="Z632">
        <v>16121</v>
      </c>
      <c r="AA632">
        <v>0</v>
      </c>
      <c r="AB632" t="s">
        <v>31</v>
      </c>
    </row>
    <row r="633" spans="1:28">
      <c r="A633" t="str">
        <f>"600753"</f>
        <v>600753</v>
      </c>
      <c r="B633" t="s">
        <v>796</v>
      </c>
      <c r="C633">
        <v>-0.08</v>
      </c>
      <c r="D633">
        <v>12.15</v>
      </c>
      <c r="E633">
        <v>-0.01</v>
      </c>
      <c r="F633">
        <v>12.07</v>
      </c>
      <c r="G633">
        <v>12.15</v>
      </c>
      <c r="H633">
        <v>8635</v>
      </c>
      <c r="I633">
        <v>3</v>
      </c>
      <c r="J633">
        <v>0.66</v>
      </c>
      <c r="K633">
        <v>0.67</v>
      </c>
      <c r="L633">
        <v>12.16</v>
      </c>
      <c r="M633">
        <v>12.3</v>
      </c>
      <c r="N633">
        <v>11.7</v>
      </c>
      <c r="O633">
        <v>12.16</v>
      </c>
      <c r="P633" t="s">
        <v>31</v>
      </c>
      <c r="Q633">
        <v>10389782</v>
      </c>
      <c r="R633">
        <v>0.62</v>
      </c>
      <c r="S633" t="s">
        <v>682</v>
      </c>
      <c r="T633" t="s">
        <v>61</v>
      </c>
      <c r="U633">
        <v>4.93</v>
      </c>
      <c r="V633">
        <v>12.03</v>
      </c>
      <c r="W633">
        <v>4404</v>
      </c>
      <c r="X633">
        <v>4231</v>
      </c>
      <c r="Y633">
        <v>1.04</v>
      </c>
      <c r="Z633">
        <v>8</v>
      </c>
      <c r="AA633">
        <v>4</v>
      </c>
      <c r="AB633" t="s">
        <v>31</v>
      </c>
    </row>
    <row r="634" spans="1:28">
      <c r="A634" t="str">
        <f>"600754"</f>
        <v>600754</v>
      </c>
      <c r="B634" t="s">
        <v>797</v>
      </c>
      <c r="C634">
        <v>1.07</v>
      </c>
      <c r="D634">
        <v>15.15</v>
      </c>
      <c r="E634">
        <v>0.16</v>
      </c>
      <c r="F634">
        <v>15.16</v>
      </c>
      <c r="G634">
        <v>15.17</v>
      </c>
      <c r="H634">
        <v>32933</v>
      </c>
      <c r="I634">
        <v>4</v>
      </c>
      <c r="J634">
        <v>0.13</v>
      </c>
      <c r="K634">
        <v>0.74</v>
      </c>
      <c r="L634">
        <v>15</v>
      </c>
      <c r="M634">
        <v>15.17</v>
      </c>
      <c r="N634">
        <v>14.65</v>
      </c>
      <c r="O634">
        <v>14.99</v>
      </c>
      <c r="P634">
        <v>27.19</v>
      </c>
      <c r="Q634">
        <v>49227768</v>
      </c>
      <c r="R634">
        <v>0.73</v>
      </c>
      <c r="S634" t="s">
        <v>354</v>
      </c>
      <c r="T634" t="s">
        <v>30</v>
      </c>
      <c r="U634">
        <v>3.47</v>
      </c>
      <c r="V634">
        <v>14.95</v>
      </c>
      <c r="W634">
        <v>17936</v>
      </c>
      <c r="X634">
        <v>14997</v>
      </c>
      <c r="Y634">
        <v>1.2</v>
      </c>
      <c r="Z634">
        <v>1</v>
      </c>
      <c r="AA634">
        <v>217</v>
      </c>
      <c r="AB634" t="s">
        <v>31</v>
      </c>
    </row>
    <row r="635" spans="1:28">
      <c r="A635" t="str">
        <f>"600755"</f>
        <v>600755</v>
      </c>
      <c r="B635" t="s">
        <v>798</v>
      </c>
      <c r="C635">
        <v>4.13</v>
      </c>
      <c r="D635">
        <v>5.3</v>
      </c>
      <c r="E635">
        <v>0.21</v>
      </c>
      <c r="F635">
        <v>5.29</v>
      </c>
      <c r="G635">
        <v>5.3</v>
      </c>
      <c r="H635">
        <v>218033</v>
      </c>
      <c r="I635">
        <v>111</v>
      </c>
      <c r="J635">
        <v>0</v>
      </c>
      <c r="K635">
        <v>1.64</v>
      </c>
      <c r="L635">
        <v>5.1100000000000003</v>
      </c>
      <c r="M635">
        <v>5.37</v>
      </c>
      <c r="N635">
        <v>5.07</v>
      </c>
      <c r="O635">
        <v>5.09</v>
      </c>
      <c r="P635">
        <v>10.96</v>
      </c>
      <c r="Q635">
        <v>114124520</v>
      </c>
      <c r="R635">
        <v>1.33</v>
      </c>
      <c r="S635" t="s">
        <v>109</v>
      </c>
      <c r="T635" t="s">
        <v>78</v>
      </c>
      <c r="U635">
        <v>5.89</v>
      </c>
      <c r="V635">
        <v>5.23</v>
      </c>
      <c r="W635">
        <v>93134</v>
      </c>
      <c r="X635">
        <v>124899</v>
      </c>
      <c r="Y635">
        <v>0.75</v>
      </c>
      <c r="Z635">
        <v>836</v>
      </c>
      <c r="AA635">
        <v>1370</v>
      </c>
      <c r="AB635" t="s">
        <v>31</v>
      </c>
    </row>
    <row r="636" spans="1:28">
      <c r="A636" t="str">
        <f>"600756"</f>
        <v>600756</v>
      </c>
      <c r="B636" t="s">
        <v>799</v>
      </c>
      <c r="C636">
        <v>1.07</v>
      </c>
      <c r="D636">
        <v>14.14</v>
      </c>
      <c r="E636">
        <v>0.15</v>
      </c>
      <c r="F636">
        <v>14.14</v>
      </c>
      <c r="G636">
        <v>14.15</v>
      </c>
      <c r="H636">
        <v>115892</v>
      </c>
      <c r="I636">
        <v>52</v>
      </c>
      <c r="J636">
        <v>0.35</v>
      </c>
      <c r="K636">
        <v>4.16</v>
      </c>
      <c r="L636">
        <v>13.99</v>
      </c>
      <c r="M636">
        <v>14.35</v>
      </c>
      <c r="N636">
        <v>13.83</v>
      </c>
      <c r="O636">
        <v>13.99</v>
      </c>
      <c r="P636" t="s">
        <v>31</v>
      </c>
      <c r="Q636">
        <v>163775504</v>
      </c>
      <c r="R636">
        <v>0.73</v>
      </c>
      <c r="S636" t="s">
        <v>383</v>
      </c>
      <c r="T636" t="s">
        <v>57</v>
      </c>
      <c r="U636">
        <v>3.72</v>
      </c>
      <c r="V636">
        <v>14.13</v>
      </c>
      <c r="W636">
        <v>55518</v>
      </c>
      <c r="X636">
        <v>60374</v>
      </c>
      <c r="Y636">
        <v>0.92</v>
      </c>
      <c r="Z636">
        <v>1</v>
      </c>
      <c r="AA636">
        <v>324</v>
      </c>
      <c r="AB636" t="s">
        <v>31</v>
      </c>
    </row>
    <row r="637" spans="1:28">
      <c r="A637" t="str">
        <f>"600757"</f>
        <v>600757</v>
      </c>
      <c r="B637" t="s">
        <v>800</v>
      </c>
      <c r="C637">
        <v>0.54</v>
      </c>
      <c r="D637">
        <v>7.4</v>
      </c>
      <c r="E637">
        <v>0.04</v>
      </c>
      <c r="F637">
        <v>7.37</v>
      </c>
      <c r="G637">
        <v>7.4</v>
      </c>
      <c r="H637">
        <v>78600</v>
      </c>
      <c r="I637">
        <v>7</v>
      </c>
      <c r="J637">
        <v>0.4</v>
      </c>
      <c r="K637">
        <v>2.2400000000000002</v>
      </c>
      <c r="L637">
        <v>7.35</v>
      </c>
      <c r="M637">
        <v>7.45</v>
      </c>
      <c r="N637">
        <v>7.25</v>
      </c>
      <c r="O637">
        <v>7.36</v>
      </c>
      <c r="P637">
        <v>21.85</v>
      </c>
      <c r="Q637">
        <v>57758440</v>
      </c>
      <c r="R637">
        <v>1.08</v>
      </c>
      <c r="S637" t="s">
        <v>466</v>
      </c>
      <c r="T637" t="s">
        <v>37</v>
      </c>
      <c r="U637">
        <v>2.72</v>
      </c>
      <c r="V637">
        <v>7.35</v>
      </c>
      <c r="W637">
        <v>46430</v>
      </c>
      <c r="X637">
        <v>32170</v>
      </c>
      <c r="Y637">
        <v>1.44</v>
      </c>
      <c r="Z637">
        <v>45</v>
      </c>
      <c r="AA637">
        <v>547</v>
      </c>
      <c r="AB637" t="s">
        <v>31</v>
      </c>
    </row>
    <row r="638" spans="1:28">
      <c r="A638" t="str">
        <f>"600758"</f>
        <v>600758</v>
      </c>
      <c r="B638" t="s">
        <v>801</v>
      </c>
      <c r="C638">
        <v>3.56</v>
      </c>
      <c r="D638">
        <v>7.56</v>
      </c>
      <c r="E638">
        <v>0.26</v>
      </c>
      <c r="F638">
        <v>7.55</v>
      </c>
      <c r="G638">
        <v>7.56</v>
      </c>
      <c r="H638">
        <v>38909</v>
      </c>
      <c r="I638">
        <v>4</v>
      </c>
      <c r="J638">
        <v>0.26</v>
      </c>
      <c r="K638">
        <v>3.38</v>
      </c>
      <c r="L638">
        <v>7.21</v>
      </c>
      <c r="M638">
        <v>7.57</v>
      </c>
      <c r="N638">
        <v>7.21</v>
      </c>
      <c r="O638">
        <v>7.3</v>
      </c>
      <c r="P638">
        <v>154.63</v>
      </c>
      <c r="Q638">
        <v>29050444</v>
      </c>
      <c r="R638">
        <v>1.34</v>
      </c>
      <c r="S638" t="s">
        <v>257</v>
      </c>
      <c r="T638" t="s">
        <v>142</v>
      </c>
      <c r="U638">
        <v>4.93</v>
      </c>
      <c r="V638">
        <v>7.47</v>
      </c>
      <c r="W638">
        <v>15660</v>
      </c>
      <c r="X638">
        <v>23249</v>
      </c>
      <c r="Y638">
        <v>0.67</v>
      </c>
      <c r="Z638">
        <v>180</v>
      </c>
      <c r="AA638">
        <v>129</v>
      </c>
      <c r="AB638" t="s">
        <v>31</v>
      </c>
    </row>
    <row r="639" spans="1:28">
      <c r="A639" t="str">
        <f>"600759"</f>
        <v>600759</v>
      </c>
      <c r="B639" t="s">
        <v>802</v>
      </c>
      <c r="C639">
        <v>0</v>
      </c>
      <c r="D639">
        <v>4.6100000000000003</v>
      </c>
      <c r="E639">
        <v>0</v>
      </c>
      <c r="F639" t="s">
        <v>31</v>
      </c>
      <c r="G639" t="s">
        <v>31</v>
      </c>
      <c r="H639">
        <v>0</v>
      </c>
      <c r="I639">
        <v>0</v>
      </c>
      <c r="J639">
        <v>0</v>
      </c>
      <c r="K639">
        <v>0</v>
      </c>
      <c r="L639" t="s">
        <v>31</v>
      </c>
      <c r="M639" t="s">
        <v>31</v>
      </c>
      <c r="N639" t="s">
        <v>31</v>
      </c>
      <c r="O639">
        <v>4.6100000000000003</v>
      </c>
      <c r="P639">
        <v>120.28</v>
      </c>
      <c r="Q639">
        <v>0</v>
      </c>
      <c r="R639">
        <v>0</v>
      </c>
      <c r="S639" t="s">
        <v>97</v>
      </c>
      <c r="T639" t="s">
        <v>302</v>
      </c>
      <c r="U639">
        <v>0</v>
      </c>
      <c r="V639">
        <v>4.6100000000000003</v>
      </c>
      <c r="W639">
        <v>0</v>
      </c>
      <c r="X639">
        <v>0</v>
      </c>
      <c r="Y639" t="s">
        <v>31</v>
      </c>
      <c r="Z639">
        <v>0</v>
      </c>
      <c r="AA639">
        <v>0</v>
      </c>
      <c r="AB639" t="s">
        <v>31</v>
      </c>
    </row>
    <row r="640" spans="1:28">
      <c r="A640" t="str">
        <f>"600760"</f>
        <v>600760</v>
      </c>
      <c r="B640" t="s">
        <v>803</v>
      </c>
      <c r="C640">
        <v>1.77</v>
      </c>
      <c r="D640">
        <v>5.17</v>
      </c>
      <c r="E640">
        <v>0.09</v>
      </c>
      <c r="F640">
        <v>5.15</v>
      </c>
      <c r="G640">
        <v>5.17</v>
      </c>
      <c r="H640">
        <v>17176</v>
      </c>
      <c r="I640">
        <v>6</v>
      </c>
      <c r="J640">
        <v>-0.38</v>
      </c>
      <c r="K640">
        <v>0.5</v>
      </c>
      <c r="L640">
        <v>5.08</v>
      </c>
      <c r="M640">
        <v>5.2</v>
      </c>
      <c r="N640">
        <v>5.0599999999999996</v>
      </c>
      <c r="O640">
        <v>5.08</v>
      </c>
      <c r="P640" t="s">
        <v>31</v>
      </c>
      <c r="Q640">
        <v>8839379</v>
      </c>
      <c r="R640">
        <v>0.66</v>
      </c>
      <c r="S640" t="s">
        <v>39</v>
      </c>
      <c r="T640" t="s">
        <v>57</v>
      </c>
      <c r="U640">
        <v>2.76</v>
      </c>
      <c r="V640">
        <v>5.15</v>
      </c>
      <c r="W640">
        <v>9955</v>
      </c>
      <c r="X640">
        <v>7221</v>
      </c>
      <c r="Y640">
        <v>1.38</v>
      </c>
      <c r="Z640">
        <v>143</v>
      </c>
      <c r="AA640">
        <v>77</v>
      </c>
      <c r="AB640" t="s">
        <v>31</v>
      </c>
    </row>
    <row r="641" spans="1:28">
      <c r="A641" t="str">
        <f>"600761"</f>
        <v>600761</v>
      </c>
      <c r="B641" t="s">
        <v>804</v>
      </c>
      <c r="C641">
        <v>1.1000000000000001</v>
      </c>
      <c r="D641">
        <v>11.03</v>
      </c>
      <c r="E641">
        <v>0.12</v>
      </c>
      <c r="F641">
        <v>11.02</v>
      </c>
      <c r="G641">
        <v>11.03</v>
      </c>
      <c r="H641">
        <v>175875</v>
      </c>
      <c r="I641">
        <v>12</v>
      </c>
      <c r="J641">
        <v>-0.18</v>
      </c>
      <c r="K641">
        <v>3.42</v>
      </c>
      <c r="L641">
        <v>10.8</v>
      </c>
      <c r="M641">
        <v>11.09</v>
      </c>
      <c r="N641">
        <v>10.59</v>
      </c>
      <c r="O641">
        <v>10.91</v>
      </c>
      <c r="P641">
        <v>10.95</v>
      </c>
      <c r="Q641">
        <v>191330448</v>
      </c>
      <c r="R641">
        <v>0.63</v>
      </c>
      <c r="S641" t="s">
        <v>75</v>
      </c>
      <c r="T641" t="s">
        <v>52</v>
      </c>
      <c r="U641">
        <v>4.58</v>
      </c>
      <c r="V641">
        <v>10.88</v>
      </c>
      <c r="W641">
        <v>101133</v>
      </c>
      <c r="X641">
        <v>74742</v>
      </c>
      <c r="Y641">
        <v>1.35</v>
      </c>
      <c r="Z641">
        <v>277</v>
      </c>
      <c r="AA641">
        <v>18</v>
      </c>
      <c r="AB641" t="s">
        <v>31</v>
      </c>
    </row>
    <row r="642" spans="1:28">
      <c r="A642" t="str">
        <f>"600763"</f>
        <v>600763</v>
      </c>
      <c r="B642" t="s">
        <v>805</v>
      </c>
      <c r="C642">
        <v>2.0699999999999998</v>
      </c>
      <c r="D642">
        <v>33.479999999999997</v>
      </c>
      <c r="E642">
        <v>0.68</v>
      </c>
      <c r="F642">
        <v>33.49</v>
      </c>
      <c r="G642">
        <v>33.5</v>
      </c>
      <c r="H642">
        <v>16357</v>
      </c>
      <c r="I642">
        <v>10</v>
      </c>
      <c r="J642">
        <v>0.02</v>
      </c>
      <c r="K642">
        <v>1.02</v>
      </c>
      <c r="L642">
        <v>32.49</v>
      </c>
      <c r="M642">
        <v>33.590000000000003</v>
      </c>
      <c r="N642">
        <v>32.01</v>
      </c>
      <c r="O642">
        <v>32.799999999999997</v>
      </c>
      <c r="P642">
        <v>48.66</v>
      </c>
      <c r="Q642">
        <v>54363692</v>
      </c>
      <c r="R642">
        <v>0.77</v>
      </c>
      <c r="S642" t="s">
        <v>103</v>
      </c>
      <c r="T642" t="s">
        <v>95</v>
      </c>
      <c r="U642">
        <v>4.82</v>
      </c>
      <c r="V642">
        <v>33.229999999999997</v>
      </c>
      <c r="W642">
        <v>8809</v>
      </c>
      <c r="X642">
        <v>7548</v>
      </c>
      <c r="Y642">
        <v>1.17</v>
      </c>
      <c r="Z642">
        <v>34</v>
      </c>
      <c r="AA642">
        <v>14</v>
      </c>
      <c r="AB642" t="s">
        <v>31</v>
      </c>
    </row>
    <row r="643" spans="1:28">
      <c r="A643" t="str">
        <f>"600764"</f>
        <v>600764</v>
      </c>
      <c r="B643" t="s">
        <v>806</v>
      </c>
      <c r="C643">
        <v>0.12</v>
      </c>
      <c r="D643">
        <v>8.2200000000000006</v>
      </c>
      <c r="E643">
        <v>0.01</v>
      </c>
      <c r="F643">
        <v>8.2200000000000006</v>
      </c>
      <c r="G643">
        <v>8.23</v>
      </c>
      <c r="H643">
        <v>12193</v>
      </c>
      <c r="I643">
        <v>40</v>
      </c>
      <c r="J643">
        <v>0</v>
      </c>
      <c r="K643">
        <v>0.37</v>
      </c>
      <c r="L643">
        <v>8.1</v>
      </c>
      <c r="M643">
        <v>8.3000000000000007</v>
      </c>
      <c r="N643">
        <v>8.1</v>
      </c>
      <c r="O643">
        <v>8.2100000000000009</v>
      </c>
      <c r="P643">
        <v>199.43</v>
      </c>
      <c r="Q643">
        <v>10002187</v>
      </c>
      <c r="R643">
        <v>0.36</v>
      </c>
      <c r="S643" t="s">
        <v>140</v>
      </c>
      <c r="T643" t="s">
        <v>42</v>
      </c>
      <c r="U643">
        <v>2.44</v>
      </c>
      <c r="V643">
        <v>8.1999999999999993</v>
      </c>
      <c r="W643">
        <v>7412</v>
      </c>
      <c r="X643">
        <v>4781</v>
      </c>
      <c r="Y643">
        <v>1.55</v>
      </c>
      <c r="Z643">
        <v>556</v>
      </c>
      <c r="AA643">
        <v>231</v>
      </c>
      <c r="AB643" t="s">
        <v>31</v>
      </c>
    </row>
    <row r="644" spans="1:28">
      <c r="A644" t="str">
        <f>"600765"</f>
        <v>600765</v>
      </c>
      <c r="B644" t="s">
        <v>807</v>
      </c>
      <c r="C644">
        <v>0.98</v>
      </c>
      <c r="D644">
        <v>12.36</v>
      </c>
      <c r="E644">
        <v>0.12</v>
      </c>
      <c r="F644">
        <v>12.36</v>
      </c>
      <c r="G644">
        <v>12.37</v>
      </c>
      <c r="H644">
        <v>103447</v>
      </c>
      <c r="I644">
        <v>20</v>
      </c>
      <c r="J644">
        <v>-0.08</v>
      </c>
      <c r="K644">
        <v>1.33</v>
      </c>
      <c r="L644">
        <v>12.25</v>
      </c>
      <c r="M644">
        <v>12.49</v>
      </c>
      <c r="N644">
        <v>12.01</v>
      </c>
      <c r="O644">
        <v>12.24</v>
      </c>
      <c r="P644">
        <v>62.99</v>
      </c>
      <c r="Q644">
        <v>126887536</v>
      </c>
      <c r="R644">
        <v>0.83</v>
      </c>
      <c r="S644" t="s">
        <v>198</v>
      </c>
      <c r="T644" t="s">
        <v>195</v>
      </c>
      <c r="U644">
        <v>3.92</v>
      </c>
      <c r="V644">
        <v>12.27</v>
      </c>
      <c r="W644">
        <v>46833</v>
      </c>
      <c r="X644">
        <v>56614</v>
      </c>
      <c r="Y644">
        <v>0.83</v>
      </c>
      <c r="Z644">
        <v>487</v>
      </c>
      <c r="AA644">
        <v>60</v>
      </c>
      <c r="AB644" t="s">
        <v>31</v>
      </c>
    </row>
    <row r="645" spans="1:28">
      <c r="A645" t="str">
        <f>"600766"</f>
        <v>600766</v>
      </c>
      <c r="B645" t="s">
        <v>808</v>
      </c>
      <c r="C645">
        <v>1.1299999999999999</v>
      </c>
      <c r="D645">
        <v>9.82</v>
      </c>
      <c r="E645">
        <v>0.11</v>
      </c>
      <c r="F645">
        <v>9.81</v>
      </c>
      <c r="G645">
        <v>9.83</v>
      </c>
      <c r="H645">
        <v>12807</v>
      </c>
      <c r="I645">
        <v>20</v>
      </c>
      <c r="J645">
        <v>0.1</v>
      </c>
      <c r="K645">
        <v>0.56999999999999995</v>
      </c>
      <c r="L645">
        <v>9.68</v>
      </c>
      <c r="M645">
        <v>9.85</v>
      </c>
      <c r="N645">
        <v>9.61</v>
      </c>
      <c r="O645">
        <v>9.7100000000000009</v>
      </c>
      <c r="P645" t="s">
        <v>31</v>
      </c>
      <c r="Q645">
        <v>12521342</v>
      </c>
      <c r="R645">
        <v>0.74</v>
      </c>
      <c r="S645" t="s">
        <v>405</v>
      </c>
      <c r="T645" t="s">
        <v>57</v>
      </c>
      <c r="U645">
        <v>2.4700000000000002</v>
      </c>
      <c r="V645">
        <v>9.7799999999999994</v>
      </c>
      <c r="W645">
        <v>5442</v>
      </c>
      <c r="X645">
        <v>7365</v>
      </c>
      <c r="Y645">
        <v>0.74</v>
      </c>
      <c r="Z645">
        <v>5</v>
      </c>
      <c r="AA645">
        <v>27</v>
      </c>
      <c r="AB645" t="s">
        <v>31</v>
      </c>
    </row>
    <row r="646" spans="1:28">
      <c r="A646" t="str">
        <f>"600767"</f>
        <v>600767</v>
      </c>
      <c r="B646" t="s">
        <v>809</v>
      </c>
      <c r="C646">
        <v>0</v>
      </c>
      <c r="D646">
        <v>6.68</v>
      </c>
      <c r="E646">
        <v>0</v>
      </c>
      <c r="F646" t="s">
        <v>31</v>
      </c>
      <c r="G646" t="s">
        <v>31</v>
      </c>
      <c r="H646">
        <v>0</v>
      </c>
      <c r="I646">
        <v>0</v>
      </c>
      <c r="J646">
        <v>0</v>
      </c>
      <c r="K646">
        <v>0</v>
      </c>
      <c r="L646" t="s">
        <v>31</v>
      </c>
      <c r="M646" t="s">
        <v>31</v>
      </c>
      <c r="N646" t="s">
        <v>31</v>
      </c>
      <c r="O646">
        <v>6.68</v>
      </c>
      <c r="P646" t="s">
        <v>31</v>
      </c>
      <c r="Q646">
        <v>0</v>
      </c>
      <c r="R646">
        <v>0</v>
      </c>
      <c r="S646" t="s">
        <v>90</v>
      </c>
      <c r="T646" t="s">
        <v>30</v>
      </c>
      <c r="U646">
        <v>0</v>
      </c>
      <c r="V646">
        <v>6.68</v>
      </c>
      <c r="W646">
        <v>0</v>
      </c>
      <c r="X646">
        <v>0</v>
      </c>
      <c r="Y646" t="s">
        <v>31</v>
      </c>
      <c r="Z646">
        <v>0</v>
      </c>
      <c r="AA646">
        <v>0</v>
      </c>
      <c r="AB646" t="s">
        <v>31</v>
      </c>
    </row>
    <row r="647" spans="1:28">
      <c r="A647" t="str">
        <f>"600768"</f>
        <v>600768</v>
      </c>
      <c r="B647" t="s">
        <v>810</v>
      </c>
      <c r="C647">
        <v>2.2999999999999998</v>
      </c>
      <c r="D647">
        <v>6.68</v>
      </c>
      <c r="E647">
        <v>0.15</v>
      </c>
      <c r="F647">
        <v>6.65</v>
      </c>
      <c r="G647">
        <v>6.69</v>
      </c>
      <c r="H647">
        <v>12010</v>
      </c>
      <c r="I647">
        <v>7</v>
      </c>
      <c r="J647">
        <v>0.3</v>
      </c>
      <c r="K647">
        <v>0.9</v>
      </c>
      <c r="L647">
        <v>6.55</v>
      </c>
      <c r="M647">
        <v>6.69</v>
      </c>
      <c r="N647">
        <v>6.48</v>
      </c>
      <c r="O647">
        <v>6.53</v>
      </c>
      <c r="P647" t="s">
        <v>31</v>
      </c>
      <c r="Q647">
        <v>7926676</v>
      </c>
      <c r="R647">
        <v>0.65</v>
      </c>
      <c r="S647" t="s">
        <v>316</v>
      </c>
      <c r="T647" t="s">
        <v>95</v>
      </c>
      <c r="U647">
        <v>3.22</v>
      </c>
      <c r="V647">
        <v>6.6</v>
      </c>
      <c r="W647">
        <v>4740</v>
      </c>
      <c r="X647">
        <v>7270</v>
      </c>
      <c r="Y647">
        <v>0.65</v>
      </c>
      <c r="Z647">
        <v>113</v>
      </c>
      <c r="AA647">
        <v>282</v>
      </c>
      <c r="AB647" t="s">
        <v>31</v>
      </c>
    </row>
    <row r="648" spans="1:28">
      <c r="A648" t="str">
        <f>"600769"</f>
        <v>600769</v>
      </c>
      <c r="B648" t="s">
        <v>811</v>
      </c>
      <c r="C648">
        <v>-0.17</v>
      </c>
      <c r="D648">
        <v>5.85</v>
      </c>
      <c r="E648">
        <v>-0.01</v>
      </c>
      <c r="F648">
        <v>5.84</v>
      </c>
      <c r="G648">
        <v>5.85</v>
      </c>
      <c r="H648">
        <v>41449</v>
      </c>
      <c r="I648">
        <v>10</v>
      </c>
      <c r="J648">
        <v>0.17</v>
      </c>
      <c r="K648">
        <v>1.1100000000000001</v>
      </c>
      <c r="L648">
        <v>5.86</v>
      </c>
      <c r="M648">
        <v>5.97</v>
      </c>
      <c r="N648">
        <v>5.75</v>
      </c>
      <c r="O648">
        <v>5.86</v>
      </c>
      <c r="P648" t="s">
        <v>31</v>
      </c>
      <c r="Q648">
        <v>24275296</v>
      </c>
      <c r="R648">
        <v>0.69</v>
      </c>
      <c r="S648" t="s">
        <v>49</v>
      </c>
      <c r="T648" t="s">
        <v>37</v>
      </c>
      <c r="U648">
        <v>3.75</v>
      </c>
      <c r="V648">
        <v>5.86</v>
      </c>
      <c r="W648">
        <v>25407</v>
      </c>
      <c r="X648">
        <v>16042</v>
      </c>
      <c r="Y648">
        <v>1.58</v>
      </c>
      <c r="Z648">
        <v>76</v>
      </c>
      <c r="AA648">
        <v>154</v>
      </c>
      <c r="AB648" t="s">
        <v>31</v>
      </c>
    </row>
    <row r="649" spans="1:28">
      <c r="A649" t="str">
        <f>"600770"</f>
        <v>600770</v>
      </c>
      <c r="B649" t="s">
        <v>812</v>
      </c>
      <c r="C649">
        <v>-1.05</v>
      </c>
      <c r="D649">
        <v>7.56</v>
      </c>
      <c r="E649">
        <v>-0.08</v>
      </c>
      <c r="F649">
        <v>7.55</v>
      </c>
      <c r="G649">
        <v>7.57</v>
      </c>
      <c r="H649">
        <v>300913</v>
      </c>
      <c r="I649">
        <v>231</v>
      </c>
      <c r="J649">
        <v>0.13</v>
      </c>
      <c r="K649">
        <v>2.78</v>
      </c>
      <c r="L649">
        <v>7.4</v>
      </c>
      <c r="M649">
        <v>7.75</v>
      </c>
      <c r="N649">
        <v>7.1</v>
      </c>
      <c r="O649">
        <v>7.64</v>
      </c>
      <c r="P649" t="s">
        <v>31</v>
      </c>
      <c r="Q649">
        <v>223080064</v>
      </c>
      <c r="R649">
        <v>1.32</v>
      </c>
      <c r="S649" t="s">
        <v>94</v>
      </c>
      <c r="T649" t="s">
        <v>120</v>
      </c>
      <c r="U649">
        <v>8.51</v>
      </c>
      <c r="V649">
        <v>7.41</v>
      </c>
      <c r="W649">
        <v>174453</v>
      </c>
      <c r="X649">
        <v>126460</v>
      </c>
      <c r="Y649">
        <v>1.38</v>
      </c>
      <c r="Z649">
        <v>197</v>
      </c>
      <c r="AA649">
        <v>361</v>
      </c>
      <c r="AB649" t="s">
        <v>31</v>
      </c>
    </row>
    <row r="650" spans="1:28">
      <c r="A650" t="str">
        <f>"600771"</f>
        <v>600771</v>
      </c>
      <c r="B650" t="s">
        <v>813</v>
      </c>
      <c r="C650">
        <v>-0.53</v>
      </c>
      <c r="D650">
        <v>24.47</v>
      </c>
      <c r="E650">
        <v>-0.13</v>
      </c>
      <c r="F650">
        <v>24.41</v>
      </c>
      <c r="G650">
        <v>24.47</v>
      </c>
      <c r="H650">
        <v>25538</v>
      </c>
      <c r="I650">
        <v>1</v>
      </c>
      <c r="J650">
        <v>0.28000000000000003</v>
      </c>
      <c r="K650">
        <v>1.35</v>
      </c>
      <c r="L650">
        <v>24</v>
      </c>
      <c r="M650">
        <v>24.5</v>
      </c>
      <c r="N650">
        <v>23.81</v>
      </c>
      <c r="O650">
        <v>24.6</v>
      </c>
      <c r="P650">
        <v>335.01</v>
      </c>
      <c r="Q650">
        <v>61933548</v>
      </c>
      <c r="R650">
        <v>0.84</v>
      </c>
      <c r="S650" t="s">
        <v>117</v>
      </c>
      <c r="T650" t="s">
        <v>203</v>
      </c>
      <c r="U650">
        <v>2.8</v>
      </c>
      <c r="V650">
        <v>24.25</v>
      </c>
      <c r="W650">
        <v>13196</v>
      </c>
      <c r="X650">
        <v>12342</v>
      </c>
      <c r="Y650">
        <v>1.07</v>
      </c>
      <c r="Z650">
        <v>35</v>
      </c>
      <c r="AA650">
        <v>77</v>
      </c>
      <c r="AB650" t="s">
        <v>31</v>
      </c>
    </row>
    <row r="651" spans="1:28">
      <c r="A651" t="str">
        <f>"600773"</f>
        <v>600773</v>
      </c>
      <c r="B651" t="s">
        <v>814</v>
      </c>
      <c r="C651">
        <v>0.89</v>
      </c>
      <c r="D651">
        <v>10.17</v>
      </c>
      <c r="E651">
        <v>0.09</v>
      </c>
      <c r="F651">
        <v>10.15</v>
      </c>
      <c r="G651">
        <v>10.17</v>
      </c>
      <c r="H651">
        <v>25770</v>
      </c>
      <c r="I651">
        <v>1</v>
      </c>
      <c r="J651">
        <v>0.09</v>
      </c>
      <c r="K651">
        <v>0.48</v>
      </c>
      <c r="L651">
        <v>10</v>
      </c>
      <c r="M651">
        <v>10.18</v>
      </c>
      <c r="N651">
        <v>9.94</v>
      </c>
      <c r="O651">
        <v>10.08</v>
      </c>
      <c r="P651">
        <v>53.53</v>
      </c>
      <c r="Q651">
        <v>25995304</v>
      </c>
      <c r="R651">
        <v>0.77</v>
      </c>
      <c r="S651" t="s">
        <v>97</v>
      </c>
      <c r="T651" t="s">
        <v>306</v>
      </c>
      <c r="U651">
        <v>2.38</v>
      </c>
      <c r="V651">
        <v>10.09</v>
      </c>
      <c r="W651">
        <v>11992</v>
      </c>
      <c r="X651">
        <v>13778</v>
      </c>
      <c r="Y651">
        <v>0.87</v>
      </c>
      <c r="Z651">
        <v>38</v>
      </c>
      <c r="AA651">
        <v>167</v>
      </c>
      <c r="AB651" t="s">
        <v>31</v>
      </c>
    </row>
    <row r="652" spans="1:28">
      <c r="A652" t="str">
        <f>"600774"</f>
        <v>600774</v>
      </c>
      <c r="B652" t="s">
        <v>815</v>
      </c>
      <c r="C652">
        <v>0.79</v>
      </c>
      <c r="D652">
        <v>8.8800000000000008</v>
      </c>
      <c r="E652">
        <v>7.0000000000000007E-2</v>
      </c>
      <c r="F652">
        <v>8.89</v>
      </c>
      <c r="G652">
        <v>8.9</v>
      </c>
      <c r="H652">
        <v>5795</v>
      </c>
      <c r="I652">
        <v>7</v>
      </c>
      <c r="J652">
        <v>0.33</v>
      </c>
      <c r="K652">
        <v>0.34</v>
      </c>
      <c r="L652">
        <v>8.73</v>
      </c>
      <c r="M652">
        <v>8.9</v>
      </c>
      <c r="N652">
        <v>8.73</v>
      </c>
      <c r="O652">
        <v>8.81</v>
      </c>
      <c r="P652">
        <v>670.48</v>
      </c>
      <c r="Q652">
        <v>5092673</v>
      </c>
      <c r="R652">
        <v>0.89</v>
      </c>
      <c r="S652" t="s">
        <v>374</v>
      </c>
      <c r="T652" t="s">
        <v>37</v>
      </c>
      <c r="U652">
        <v>1.93</v>
      </c>
      <c r="V652">
        <v>8.7899999999999991</v>
      </c>
      <c r="W652">
        <v>3003</v>
      </c>
      <c r="X652">
        <v>2792</v>
      </c>
      <c r="Y652">
        <v>1.08</v>
      </c>
      <c r="Z652">
        <v>30</v>
      </c>
      <c r="AA652">
        <v>46</v>
      </c>
      <c r="AB652" t="s">
        <v>31</v>
      </c>
    </row>
    <row r="653" spans="1:28">
      <c r="A653" t="str">
        <f>"600775"</f>
        <v>600775</v>
      </c>
      <c r="B653" t="s">
        <v>816</v>
      </c>
      <c r="C653">
        <v>1.61</v>
      </c>
      <c r="D653">
        <v>7.57</v>
      </c>
      <c r="E653">
        <v>0.12</v>
      </c>
      <c r="F653">
        <v>7.51</v>
      </c>
      <c r="G653">
        <v>7.57</v>
      </c>
      <c r="H653">
        <v>36267</v>
      </c>
      <c r="I653">
        <v>10</v>
      </c>
      <c r="J653">
        <v>0.39</v>
      </c>
      <c r="K653">
        <v>0.88</v>
      </c>
      <c r="L653">
        <v>7.5</v>
      </c>
      <c r="M653">
        <v>7.65</v>
      </c>
      <c r="N653">
        <v>7.43</v>
      </c>
      <c r="O653">
        <v>7.45</v>
      </c>
      <c r="P653">
        <v>41.3</v>
      </c>
      <c r="Q653">
        <v>27402238</v>
      </c>
      <c r="R653">
        <v>0.5</v>
      </c>
      <c r="S653" t="s">
        <v>140</v>
      </c>
      <c r="T653" t="s">
        <v>120</v>
      </c>
      <c r="U653">
        <v>2.95</v>
      </c>
      <c r="V653">
        <v>7.56</v>
      </c>
      <c r="W653">
        <v>16526</v>
      </c>
      <c r="X653">
        <v>19741</v>
      </c>
      <c r="Y653">
        <v>0.84</v>
      </c>
      <c r="Z653">
        <v>41</v>
      </c>
      <c r="AA653">
        <v>61</v>
      </c>
      <c r="AB653" t="s">
        <v>31</v>
      </c>
    </row>
    <row r="654" spans="1:28">
      <c r="A654" t="str">
        <f>"600776"</f>
        <v>600776</v>
      </c>
      <c r="B654" t="s">
        <v>817</v>
      </c>
      <c r="C654">
        <v>1.1399999999999999</v>
      </c>
      <c r="D654">
        <v>5.33</v>
      </c>
      <c r="E654">
        <v>0.06</v>
      </c>
      <c r="F654">
        <v>5.32</v>
      </c>
      <c r="G654">
        <v>5.33</v>
      </c>
      <c r="H654">
        <v>38160</v>
      </c>
      <c r="I654">
        <v>3</v>
      </c>
      <c r="J654">
        <v>0</v>
      </c>
      <c r="K654">
        <v>0.4</v>
      </c>
      <c r="L654">
        <v>5.24</v>
      </c>
      <c r="M654">
        <v>5.34</v>
      </c>
      <c r="N654">
        <v>5.18</v>
      </c>
      <c r="O654">
        <v>5.27</v>
      </c>
      <c r="P654">
        <v>51.26</v>
      </c>
      <c r="Q654">
        <v>20101264</v>
      </c>
      <c r="R654">
        <v>0.32</v>
      </c>
      <c r="S654" t="s">
        <v>140</v>
      </c>
      <c r="T654" t="s">
        <v>95</v>
      </c>
      <c r="U654">
        <v>3.04</v>
      </c>
      <c r="V654">
        <v>5.27</v>
      </c>
      <c r="W654">
        <v>18469</v>
      </c>
      <c r="X654">
        <v>19691</v>
      </c>
      <c r="Y654">
        <v>0.94</v>
      </c>
      <c r="Z654">
        <v>37</v>
      </c>
      <c r="AA654">
        <v>153</v>
      </c>
      <c r="AB654" t="s">
        <v>31</v>
      </c>
    </row>
    <row r="655" spans="1:28">
      <c r="A655" t="str">
        <f>"600777"</f>
        <v>600777</v>
      </c>
      <c r="B655" t="s">
        <v>818</v>
      </c>
      <c r="C655">
        <v>4.33</v>
      </c>
      <c r="D655">
        <v>5.54</v>
      </c>
      <c r="E655">
        <v>0.23</v>
      </c>
      <c r="F655">
        <v>5.54</v>
      </c>
      <c r="G655">
        <v>5.55</v>
      </c>
      <c r="H655">
        <v>106321</v>
      </c>
      <c r="I655">
        <v>40</v>
      </c>
      <c r="J655">
        <v>-0.53</v>
      </c>
      <c r="K655">
        <v>1.7</v>
      </c>
      <c r="L655">
        <v>5.26</v>
      </c>
      <c r="M655">
        <v>5.57</v>
      </c>
      <c r="N655">
        <v>5.1100000000000003</v>
      </c>
      <c r="O655">
        <v>5.31</v>
      </c>
      <c r="P655">
        <v>38.47</v>
      </c>
      <c r="Q655">
        <v>57172632</v>
      </c>
      <c r="R655">
        <v>1.25</v>
      </c>
      <c r="S655" t="s">
        <v>94</v>
      </c>
      <c r="T655" t="s">
        <v>57</v>
      </c>
      <c r="U655">
        <v>8.66</v>
      </c>
      <c r="V655">
        <v>5.38</v>
      </c>
      <c r="W655">
        <v>47663</v>
      </c>
      <c r="X655">
        <v>58658</v>
      </c>
      <c r="Y655">
        <v>0.81</v>
      </c>
      <c r="Z655">
        <v>66</v>
      </c>
      <c r="AA655">
        <v>468</v>
      </c>
      <c r="AB655" t="s">
        <v>31</v>
      </c>
    </row>
    <row r="656" spans="1:28">
      <c r="A656" t="str">
        <f>"600778"</f>
        <v>600778</v>
      </c>
      <c r="B656" t="s">
        <v>819</v>
      </c>
      <c r="C656">
        <v>2.63</v>
      </c>
      <c r="D656">
        <v>9.74</v>
      </c>
      <c r="E656">
        <v>0.25</v>
      </c>
      <c r="F656">
        <v>9.74</v>
      </c>
      <c r="G656">
        <v>9.75</v>
      </c>
      <c r="H656">
        <v>55015</v>
      </c>
      <c r="I656">
        <v>1</v>
      </c>
      <c r="J656">
        <v>0.2</v>
      </c>
      <c r="K656">
        <v>1.78</v>
      </c>
      <c r="L656">
        <v>9.58</v>
      </c>
      <c r="M656">
        <v>9.93</v>
      </c>
      <c r="N656">
        <v>9.57</v>
      </c>
      <c r="O656">
        <v>9.49</v>
      </c>
      <c r="P656">
        <v>5.79</v>
      </c>
      <c r="Q656">
        <v>53571948</v>
      </c>
      <c r="R656">
        <v>1.3</v>
      </c>
      <c r="S656" t="s">
        <v>374</v>
      </c>
      <c r="T656" t="s">
        <v>138</v>
      </c>
      <c r="U656">
        <v>3.79</v>
      </c>
      <c r="V656">
        <v>9.74</v>
      </c>
      <c r="W656">
        <v>29631</v>
      </c>
      <c r="X656">
        <v>25384</v>
      </c>
      <c r="Y656">
        <v>1.17</v>
      </c>
      <c r="Z656">
        <v>15</v>
      </c>
      <c r="AA656">
        <v>23</v>
      </c>
      <c r="AB656" t="s">
        <v>31</v>
      </c>
    </row>
    <row r="657" spans="1:28">
      <c r="A657" t="str">
        <f>"600779"</f>
        <v>600779</v>
      </c>
      <c r="B657" t="s">
        <v>820</v>
      </c>
      <c r="C657">
        <v>1.17</v>
      </c>
      <c r="D657">
        <v>10.4</v>
      </c>
      <c r="E657">
        <v>0.12</v>
      </c>
      <c r="F657">
        <v>10.4</v>
      </c>
      <c r="G657">
        <v>10.41</v>
      </c>
      <c r="H657">
        <v>52917</v>
      </c>
      <c r="I657">
        <v>5</v>
      </c>
      <c r="J657">
        <v>-0.19</v>
      </c>
      <c r="K657">
        <v>1.79</v>
      </c>
      <c r="L657">
        <v>10.23</v>
      </c>
      <c r="M657">
        <v>10.46</v>
      </c>
      <c r="N657">
        <v>10.11</v>
      </c>
      <c r="O657">
        <v>10.28</v>
      </c>
      <c r="P657">
        <v>110.14</v>
      </c>
      <c r="Q657">
        <v>54390560</v>
      </c>
      <c r="R657">
        <v>0.77</v>
      </c>
      <c r="S657" t="s">
        <v>291</v>
      </c>
      <c r="T657" t="s">
        <v>88</v>
      </c>
      <c r="U657">
        <v>3.4</v>
      </c>
      <c r="V657">
        <v>10.28</v>
      </c>
      <c r="W657">
        <v>27285</v>
      </c>
      <c r="X657">
        <v>25632</v>
      </c>
      <c r="Y657">
        <v>1.06</v>
      </c>
      <c r="Z657">
        <v>98</v>
      </c>
      <c r="AA657">
        <v>1223</v>
      </c>
      <c r="AB657" t="s">
        <v>31</v>
      </c>
    </row>
    <row r="658" spans="1:28">
      <c r="A658" t="str">
        <f>"600780"</f>
        <v>600780</v>
      </c>
      <c r="B658" t="s">
        <v>821</v>
      </c>
      <c r="C658">
        <v>3.01</v>
      </c>
      <c r="D658">
        <v>5.81</v>
      </c>
      <c r="E658">
        <v>0.17</v>
      </c>
      <c r="F658">
        <v>5.81</v>
      </c>
      <c r="G658">
        <v>5.82</v>
      </c>
      <c r="H658">
        <v>80017</v>
      </c>
      <c r="I658">
        <v>73</v>
      </c>
      <c r="J658">
        <v>0.17</v>
      </c>
      <c r="K658">
        <v>0.92</v>
      </c>
      <c r="L658">
        <v>5.64</v>
      </c>
      <c r="M658">
        <v>5.93</v>
      </c>
      <c r="N658">
        <v>5.62</v>
      </c>
      <c r="O658">
        <v>5.64</v>
      </c>
      <c r="P658">
        <v>15.84</v>
      </c>
      <c r="Q658">
        <v>46429472</v>
      </c>
      <c r="R658">
        <v>1.59</v>
      </c>
      <c r="S658" t="s">
        <v>49</v>
      </c>
      <c r="T658" t="s">
        <v>212</v>
      </c>
      <c r="U658">
        <v>5.5</v>
      </c>
      <c r="V658">
        <v>5.8</v>
      </c>
      <c r="W658">
        <v>41711</v>
      </c>
      <c r="X658">
        <v>38306</v>
      </c>
      <c r="Y658">
        <v>1.0900000000000001</v>
      </c>
      <c r="Z658">
        <v>276</v>
      </c>
      <c r="AA658">
        <v>635</v>
      </c>
      <c r="AB658" t="s">
        <v>31</v>
      </c>
    </row>
    <row r="659" spans="1:28">
      <c r="A659" t="str">
        <f>"600781"</f>
        <v>600781</v>
      </c>
      <c r="B659" t="s">
        <v>822</v>
      </c>
      <c r="C659">
        <v>7.0000000000000007E-2</v>
      </c>
      <c r="D659">
        <v>14.84</v>
      </c>
      <c r="E659">
        <v>0.01</v>
      </c>
      <c r="F659">
        <v>14.84</v>
      </c>
      <c r="G659">
        <v>14.88</v>
      </c>
      <c r="H659">
        <v>15297</v>
      </c>
      <c r="I659">
        <v>10</v>
      </c>
      <c r="J659">
        <v>0.13</v>
      </c>
      <c r="K659">
        <v>0.86</v>
      </c>
      <c r="L659">
        <v>14.88</v>
      </c>
      <c r="M659">
        <v>15.05</v>
      </c>
      <c r="N659">
        <v>14.74</v>
      </c>
      <c r="O659">
        <v>14.83</v>
      </c>
      <c r="P659">
        <v>113.02</v>
      </c>
      <c r="Q659">
        <v>22743716</v>
      </c>
      <c r="R659">
        <v>0.5</v>
      </c>
      <c r="S659" t="s">
        <v>156</v>
      </c>
      <c r="T659" t="s">
        <v>30</v>
      </c>
      <c r="U659">
        <v>2.09</v>
      </c>
      <c r="V659">
        <v>14.87</v>
      </c>
      <c r="W659">
        <v>11542</v>
      </c>
      <c r="X659">
        <v>3755</v>
      </c>
      <c r="Y659">
        <v>3.07</v>
      </c>
      <c r="Z659">
        <v>4</v>
      </c>
      <c r="AA659">
        <v>77</v>
      </c>
      <c r="AB659" t="s">
        <v>31</v>
      </c>
    </row>
    <row r="660" spans="1:28">
      <c r="A660" t="str">
        <f>"600782"</f>
        <v>600782</v>
      </c>
      <c r="B660" t="s">
        <v>823</v>
      </c>
      <c r="C660">
        <v>1.3</v>
      </c>
      <c r="D660">
        <v>3.11</v>
      </c>
      <c r="E660">
        <v>0.04</v>
      </c>
      <c r="F660">
        <v>3.11</v>
      </c>
      <c r="G660">
        <v>3.12</v>
      </c>
      <c r="H660">
        <v>14923</v>
      </c>
      <c r="I660">
        <v>50</v>
      </c>
      <c r="J660">
        <v>-0.32</v>
      </c>
      <c r="K660">
        <v>0.11</v>
      </c>
      <c r="L660">
        <v>3.05</v>
      </c>
      <c r="M660">
        <v>3.13</v>
      </c>
      <c r="N660">
        <v>3.01</v>
      </c>
      <c r="O660">
        <v>3.07</v>
      </c>
      <c r="P660" t="s">
        <v>31</v>
      </c>
      <c r="Q660">
        <v>4609837</v>
      </c>
      <c r="R660">
        <v>0.56000000000000005</v>
      </c>
      <c r="S660" t="s">
        <v>254</v>
      </c>
      <c r="T660" t="s">
        <v>99</v>
      </c>
      <c r="U660">
        <v>3.91</v>
      </c>
      <c r="V660">
        <v>3.09</v>
      </c>
      <c r="W660">
        <v>6978</v>
      </c>
      <c r="X660">
        <v>7945</v>
      </c>
      <c r="Y660">
        <v>0.88</v>
      </c>
      <c r="Z660">
        <v>39</v>
      </c>
      <c r="AA660">
        <v>197</v>
      </c>
      <c r="AB660" t="s">
        <v>31</v>
      </c>
    </row>
    <row r="661" spans="1:28">
      <c r="A661" t="str">
        <f>"600783"</f>
        <v>600783</v>
      </c>
      <c r="B661" t="s">
        <v>824</v>
      </c>
      <c r="C661">
        <v>1.24</v>
      </c>
      <c r="D661">
        <v>17.91</v>
      </c>
      <c r="E661">
        <v>0.22</v>
      </c>
      <c r="F661">
        <v>17.920000000000002</v>
      </c>
      <c r="G661">
        <v>17.93</v>
      </c>
      <c r="H661">
        <v>46597</v>
      </c>
      <c r="I661">
        <v>3</v>
      </c>
      <c r="J661">
        <v>0.22</v>
      </c>
      <c r="K661">
        <v>0.63</v>
      </c>
      <c r="L661">
        <v>17.72</v>
      </c>
      <c r="M661">
        <v>18.149999999999999</v>
      </c>
      <c r="N661">
        <v>17.5</v>
      </c>
      <c r="O661">
        <v>17.690000000000001</v>
      </c>
      <c r="P661">
        <v>41.55</v>
      </c>
      <c r="Q661">
        <v>83458776</v>
      </c>
      <c r="R661">
        <v>0.6</v>
      </c>
      <c r="S661" t="s">
        <v>264</v>
      </c>
      <c r="T661" t="s">
        <v>57</v>
      </c>
      <c r="U661">
        <v>3.67</v>
      </c>
      <c r="V661">
        <v>17.91</v>
      </c>
      <c r="W661">
        <v>25202</v>
      </c>
      <c r="X661">
        <v>21395</v>
      </c>
      <c r="Y661">
        <v>1.18</v>
      </c>
      <c r="Z661">
        <v>1</v>
      </c>
      <c r="AA661">
        <v>17</v>
      </c>
      <c r="AB661" t="s">
        <v>31</v>
      </c>
    </row>
    <row r="662" spans="1:28">
      <c r="A662" t="str">
        <f>"600784"</f>
        <v>600784</v>
      </c>
      <c r="B662" t="s">
        <v>825</v>
      </c>
      <c r="C662">
        <v>0.38</v>
      </c>
      <c r="D662">
        <v>5.33</v>
      </c>
      <c r="E662">
        <v>0.02</v>
      </c>
      <c r="F662">
        <v>5.33</v>
      </c>
      <c r="G662">
        <v>5.34</v>
      </c>
      <c r="H662">
        <v>53769</v>
      </c>
      <c r="I662">
        <v>20</v>
      </c>
      <c r="J662">
        <v>0</v>
      </c>
      <c r="K662">
        <v>1.08</v>
      </c>
      <c r="L662">
        <v>5.28</v>
      </c>
      <c r="M662">
        <v>5.36</v>
      </c>
      <c r="N662">
        <v>5.24</v>
      </c>
      <c r="O662">
        <v>5.31</v>
      </c>
      <c r="P662">
        <v>41.85</v>
      </c>
      <c r="Q662">
        <v>28578060</v>
      </c>
      <c r="R662">
        <v>0.66</v>
      </c>
      <c r="S662" t="s">
        <v>36</v>
      </c>
      <c r="T662" t="s">
        <v>57</v>
      </c>
      <c r="U662">
        <v>2.2599999999999998</v>
      </c>
      <c r="V662">
        <v>5.31</v>
      </c>
      <c r="W662">
        <v>30719</v>
      </c>
      <c r="X662">
        <v>23050</v>
      </c>
      <c r="Y662">
        <v>1.33</v>
      </c>
      <c r="Z662">
        <v>423</v>
      </c>
      <c r="AA662">
        <v>1093</v>
      </c>
      <c r="AB662" t="s">
        <v>31</v>
      </c>
    </row>
    <row r="663" spans="1:28">
      <c r="A663" t="str">
        <f>"600785"</f>
        <v>600785</v>
      </c>
      <c r="B663" t="s">
        <v>826</v>
      </c>
      <c r="C663">
        <v>0</v>
      </c>
      <c r="D663">
        <v>12.95</v>
      </c>
      <c r="E663">
        <v>0</v>
      </c>
      <c r="F663" t="s">
        <v>31</v>
      </c>
      <c r="G663" t="s">
        <v>31</v>
      </c>
      <c r="H663">
        <v>0</v>
      </c>
      <c r="I663">
        <v>0</v>
      </c>
      <c r="J663">
        <v>0</v>
      </c>
      <c r="K663">
        <v>0</v>
      </c>
      <c r="L663" t="s">
        <v>31</v>
      </c>
      <c r="M663" t="s">
        <v>31</v>
      </c>
      <c r="N663" t="s">
        <v>31</v>
      </c>
      <c r="O663">
        <v>12.95</v>
      </c>
      <c r="P663">
        <v>9.17</v>
      </c>
      <c r="Q663">
        <v>0</v>
      </c>
      <c r="R663">
        <v>0</v>
      </c>
      <c r="S663" t="s">
        <v>374</v>
      </c>
      <c r="T663" t="s">
        <v>236</v>
      </c>
      <c r="U663">
        <v>0</v>
      </c>
      <c r="V663">
        <v>12.95</v>
      </c>
      <c r="W663">
        <v>0</v>
      </c>
      <c r="X663">
        <v>0</v>
      </c>
      <c r="Y663" t="s">
        <v>31</v>
      </c>
      <c r="Z663">
        <v>0</v>
      </c>
      <c r="AA663">
        <v>0</v>
      </c>
      <c r="AB663" t="s">
        <v>31</v>
      </c>
    </row>
    <row r="664" spans="1:28">
      <c r="A664" t="str">
        <f>"600787"</f>
        <v>600787</v>
      </c>
      <c r="B664" t="s">
        <v>827</v>
      </c>
      <c r="C664">
        <v>3.94</v>
      </c>
      <c r="D664">
        <v>10.029999999999999</v>
      </c>
      <c r="E664">
        <v>0.38</v>
      </c>
      <c r="F664">
        <v>10.029999999999999</v>
      </c>
      <c r="G664">
        <v>10.039999999999999</v>
      </c>
      <c r="H664">
        <v>293950</v>
      </c>
      <c r="I664">
        <v>296</v>
      </c>
      <c r="J664">
        <v>0.28999999999999998</v>
      </c>
      <c r="K664">
        <v>3.5</v>
      </c>
      <c r="L664">
        <v>9.64</v>
      </c>
      <c r="M664">
        <v>10.15</v>
      </c>
      <c r="N664">
        <v>9.2200000000000006</v>
      </c>
      <c r="O664">
        <v>9.65</v>
      </c>
      <c r="P664">
        <v>23.87</v>
      </c>
      <c r="Q664">
        <v>286698176</v>
      </c>
      <c r="R664">
        <v>1.1000000000000001</v>
      </c>
      <c r="S664" t="s">
        <v>107</v>
      </c>
      <c r="T664" t="s">
        <v>151</v>
      </c>
      <c r="U664">
        <v>9.64</v>
      </c>
      <c r="V664">
        <v>9.75</v>
      </c>
      <c r="W664">
        <v>127012</v>
      </c>
      <c r="X664">
        <v>166938</v>
      </c>
      <c r="Y664">
        <v>0.76</v>
      </c>
      <c r="Z664">
        <v>615</v>
      </c>
      <c r="AA664">
        <v>95</v>
      </c>
      <c r="AB664" t="s">
        <v>31</v>
      </c>
    </row>
    <row r="665" spans="1:28">
      <c r="A665" t="str">
        <f>"600789"</f>
        <v>600789</v>
      </c>
      <c r="B665" t="s">
        <v>828</v>
      </c>
      <c r="C665">
        <v>1.06</v>
      </c>
      <c r="D665">
        <v>4.78</v>
      </c>
      <c r="E665">
        <v>0.05</v>
      </c>
      <c r="F665">
        <v>4.78</v>
      </c>
      <c r="G665">
        <v>4.79</v>
      </c>
      <c r="H665">
        <v>46885</v>
      </c>
      <c r="I665">
        <v>15</v>
      </c>
      <c r="J665">
        <v>0</v>
      </c>
      <c r="K665">
        <v>0.81</v>
      </c>
      <c r="L665">
        <v>4.7300000000000004</v>
      </c>
      <c r="M665">
        <v>4.79</v>
      </c>
      <c r="N665">
        <v>4.68</v>
      </c>
      <c r="O665">
        <v>4.7300000000000004</v>
      </c>
      <c r="P665" t="s">
        <v>31</v>
      </c>
      <c r="Q665">
        <v>22247856</v>
      </c>
      <c r="R665">
        <v>0.41</v>
      </c>
      <c r="S665" t="s">
        <v>117</v>
      </c>
      <c r="T665" t="s">
        <v>57</v>
      </c>
      <c r="U665">
        <v>2.33</v>
      </c>
      <c r="V665">
        <v>4.75</v>
      </c>
      <c r="W665">
        <v>23244</v>
      </c>
      <c r="X665">
        <v>23641</v>
      </c>
      <c r="Y665">
        <v>0.98</v>
      </c>
      <c r="Z665">
        <v>743</v>
      </c>
      <c r="AA665">
        <v>801</v>
      </c>
      <c r="AB665" t="s">
        <v>31</v>
      </c>
    </row>
    <row r="666" spans="1:28">
      <c r="A666" t="str">
        <f>"600790"</f>
        <v>600790</v>
      </c>
      <c r="B666" t="s">
        <v>829</v>
      </c>
      <c r="C666">
        <v>1.46</v>
      </c>
      <c r="D666">
        <v>6.26</v>
      </c>
      <c r="E666">
        <v>0.09</v>
      </c>
      <c r="F666">
        <v>6.26</v>
      </c>
      <c r="G666">
        <v>6.27</v>
      </c>
      <c r="H666">
        <v>52894</v>
      </c>
      <c r="I666">
        <v>13</v>
      </c>
      <c r="J666">
        <v>0</v>
      </c>
      <c r="K666">
        <v>0.85</v>
      </c>
      <c r="L666">
        <v>6.18</v>
      </c>
      <c r="M666">
        <v>6.3</v>
      </c>
      <c r="N666">
        <v>6.17</v>
      </c>
      <c r="O666">
        <v>6.17</v>
      </c>
      <c r="P666">
        <v>9.4</v>
      </c>
      <c r="Q666">
        <v>33033488</v>
      </c>
      <c r="R666">
        <v>0.77</v>
      </c>
      <c r="S666" t="s">
        <v>501</v>
      </c>
      <c r="T666" t="s">
        <v>95</v>
      </c>
      <c r="U666">
        <v>2.11</v>
      </c>
      <c r="V666">
        <v>6.25</v>
      </c>
      <c r="W666">
        <v>24100</v>
      </c>
      <c r="X666">
        <v>28794</v>
      </c>
      <c r="Y666">
        <v>0.84</v>
      </c>
      <c r="Z666">
        <v>79</v>
      </c>
      <c r="AA666">
        <v>126</v>
      </c>
      <c r="AB666" t="s">
        <v>31</v>
      </c>
    </row>
    <row r="667" spans="1:28">
      <c r="A667" t="str">
        <f>"600791"</f>
        <v>600791</v>
      </c>
      <c r="B667" t="s">
        <v>830</v>
      </c>
      <c r="C667">
        <v>1.59</v>
      </c>
      <c r="D667">
        <v>5.0999999999999996</v>
      </c>
      <c r="E667">
        <v>0.08</v>
      </c>
      <c r="F667">
        <v>5.09</v>
      </c>
      <c r="G667">
        <v>5.0999999999999996</v>
      </c>
      <c r="H667">
        <v>27828</v>
      </c>
      <c r="I667">
        <v>9</v>
      </c>
      <c r="J667">
        <v>0.19</v>
      </c>
      <c r="K667">
        <v>0.62</v>
      </c>
      <c r="L667">
        <v>5.0199999999999996</v>
      </c>
      <c r="M667">
        <v>5.0999999999999996</v>
      </c>
      <c r="N667">
        <v>4.92</v>
      </c>
      <c r="O667">
        <v>5.0199999999999996</v>
      </c>
      <c r="P667">
        <v>26.33</v>
      </c>
      <c r="Q667">
        <v>13961985</v>
      </c>
      <c r="R667">
        <v>0.37</v>
      </c>
      <c r="S667" t="s">
        <v>90</v>
      </c>
      <c r="T667" t="s">
        <v>42</v>
      </c>
      <c r="U667">
        <v>3.59</v>
      </c>
      <c r="V667">
        <v>5.0199999999999996</v>
      </c>
      <c r="W667">
        <v>13014</v>
      </c>
      <c r="X667">
        <v>14814</v>
      </c>
      <c r="Y667">
        <v>0.88</v>
      </c>
      <c r="Z667">
        <v>391</v>
      </c>
      <c r="AA667">
        <v>275</v>
      </c>
      <c r="AB667" t="s">
        <v>31</v>
      </c>
    </row>
    <row r="668" spans="1:28">
      <c r="A668" t="str">
        <f>"600792"</f>
        <v>600792</v>
      </c>
      <c r="B668" t="s">
        <v>831</v>
      </c>
      <c r="C668">
        <v>3.29</v>
      </c>
      <c r="D668">
        <v>8.7799999999999994</v>
      </c>
      <c r="E668">
        <v>0.28000000000000003</v>
      </c>
      <c r="F668">
        <v>8.76</v>
      </c>
      <c r="G668">
        <v>8.77</v>
      </c>
      <c r="H668">
        <v>9035</v>
      </c>
      <c r="I668">
        <v>10</v>
      </c>
      <c r="J668">
        <v>0.34</v>
      </c>
      <c r="K668">
        <v>0.72</v>
      </c>
      <c r="L668">
        <v>8.5299999999999994</v>
      </c>
      <c r="M668">
        <v>8.7799999999999994</v>
      </c>
      <c r="N668">
        <v>8.4600000000000009</v>
      </c>
      <c r="O668">
        <v>8.5</v>
      </c>
      <c r="P668">
        <v>38.93</v>
      </c>
      <c r="Q668">
        <v>7807095</v>
      </c>
      <c r="R668">
        <v>0.38</v>
      </c>
      <c r="S668" t="s">
        <v>272</v>
      </c>
      <c r="T668" t="s">
        <v>170</v>
      </c>
      <c r="U668">
        <v>3.76</v>
      </c>
      <c r="V668">
        <v>8.64</v>
      </c>
      <c r="W668">
        <v>3979</v>
      </c>
      <c r="X668">
        <v>5056</v>
      </c>
      <c r="Y668">
        <v>0.79</v>
      </c>
      <c r="Z668">
        <v>40</v>
      </c>
      <c r="AA668">
        <v>30</v>
      </c>
      <c r="AB668" t="s">
        <v>31</v>
      </c>
    </row>
    <row r="669" spans="1:28">
      <c r="A669" t="str">
        <f>"600793"</f>
        <v>600793</v>
      </c>
      <c r="B669" t="s">
        <v>832</v>
      </c>
      <c r="C669">
        <v>0.99</v>
      </c>
      <c r="D669">
        <v>10.199999999999999</v>
      </c>
      <c r="E669">
        <v>0.1</v>
      </c>
      <c r="F669">
        <v>10.14</v>
      </c>
      <c r="G669">
        <v>10.220000000000001</v>
      </c>
      <c r="H669">
        <v>2400</v>
      </c>
      <c r="I669">
        <v>16</v>
      </c>
      <c r="J669">
        <v>0.49</v>
      </c>
      <c r="K669">
        <v>0.23</v>
      </c>
      <c r="L669">
        <v>10.1</v>
      </c>
      <c r="M669">
        <v>10.199999999999999</v>
      </c>
      <c r="N669">
        <v>9.9</v>
      </c>
      <c r="O669">
        <v>10.1</v>
      </c>
      <c r="P669">
        <v>873.22</v>
      </c>
      <c r="Q669">
        <v>2409417</v>
      </c>
      <c r="R669">
        <v>0.5</v>
      </c>
      <c r="S669" t="s">
        <v>125</v>
      </c>
      <c r="T669" t="s">
        <v>88</v>
      </c>
      <c r="U669">
        <v>2.97</v>
      </c>
      <c r="V669">
        <v>10.039999999999999</v>
      </c>
      <c r="W669">
        <v>933</v>
      </c>
      <c r="X669">
        <v>1467</v>
      </c>
      <c r="Y669">
        <v>0.64</v>
      </c>
      <c r="Z669">
        <v>3</v>
      </c>
      <c r="AA669">
        <v>27</v>
      </c>
      <c r="AB669" t="s">
        <v>31</v>
      </c>
    </row>
    <row r="670" spans="1:28">
      <c r="A670" t="str">
        <f>"600794"</f>
        <v>600794</v>
      </c>
      <c r="B670" t="s">
        <v>833</v>
      </c>
      <c r="C670">
        <v>0.5</v>
      </c>
      <c r="D670">
        <v>8.1199999999999992</v>
      </c>
      <c r="E670">
        <v>0.04</v>
      </c>
      <c r="F670">
        <v>8.11</v>
      </c>
      <c r="G670">
        <v>8.1199999999999992</v>
      </c>
      <c r="H670">
        <v>22220</v>
      </c>
      <c r="I670">
        <v>6</v>
      </c>
      <c r="J670">
        <v>0.12</v>
      </c>
      <c r="K670">
        <v>0.52</v>
      </c>
      <c r="L670">
        <v>8.02</v>
      </c>
      <c r="M670">
        <v>8.15</v>
      </c>
      <c r="N670">
        <v>8.02</v>
      </c>
      <c r="O670">
        <v>8.08</v>
      </c>
      <c r="P670">
        <v>21.82</v>
      </c>
      <c r="Q670">
        <v>17956902</v>
      </c>
      <c r="R670">
        <v>0.61</v>
      </c>
      <c r="S670" t="s">
        <v>107</v>
      </c>
      <c r="T670" t="s">
        <v>170</v>
      </c>
      <c r="U670">
        <v>1.61</v>
      </c>
      <c r="V670">
        <v>8.08</v>
      </c>
      <c r="W670">
        <v>11476</v>
      </c>
      <c r="X670">
        <v>10744</v>
      </c>
      <c r="Y670">
        <v>1.07</v>
      </c>
      <c r="Z670">
        <v>439</v>
      </c>
      <c r="AA670">
        <v>44</v>
      </c>
      <c r="AB670" t="s">
        <v>31</v>
      </c>
    </row>
    <row r="671" spans="1:28">
      <c r="A671" t="str">
        <f>"600795"</f>
        <v>600795</v>
      </c>
      <c r="B671" t="s">
        <v>834</v>
      </c>
      <c r="C671">
        <v>5.22</v>
      </c>
      <c r="D671">
        <v>2.62</v>
      </c>
      <c r="E671">
        <v>0.13</v>
      </c>
      <c r="F671">
        <v>2.62</v>
      </c>
      <c r="G671">
        <v>2.63</v>
      </c>
      <c r="H671">
        <v>4652560</v>
      </c>
      <c r="I671">
        <v>59</v>
      </c>
      <c r="J671">
        <v>0.38</v>
      </c>
      <c r="K671">
        <v>3.02</v>
      </c>
      <c r="L671">
        <v>2.5</v>
      </c>
      <c r="M671">
        <v>2.74</v>
      </c>
      <c r="N671">
        <v>2.4900000000000002</v>
      </c>
      <c r="O671">
        <v>2.4900000000000002</v>
      </c>
      <c r="P671">
        <v>6.86</v>
      </c>
      <c r="Q671">
        <v>1221410816</v>
      </c>
      <c r="R671">
        <v>3.95</v>
      </c>
      <c r="S671" t="s">
        <v>49</v>
      </c>
      <c r="T671" t="s">
        <v>142</v>
      </c>
      <c r="U671">
        <v>10.039999999999999</v>
      </c>
      <c r="V671">
        <v>2.63</v>
      </c>
      <c r="W671">
        <v>2236072</v>
      </c>
      <c r="X671">
        <v>2416488</v>
      </c>
      <c r="Y671">
        <v>0.93</v>
      </c>
      <c r="Z671">
        <v>18095</v>
      </c>
      <c r="AA671">
        <v>39544</v>
      </c>
      <c r="AB671" t="s">
        <v>31</v>
      </c>
    </row>
    <row r="672" spans="1:28">
      <c r="A672" t="str">
        <f>"600796"</f>
        <v>600796</v>
      </c>
      <c r="B672" t="s">
        <v>835</v>
      </c>
      <c r="C672">
        <v>1.44</v>
      </c>
      <c r="D672">
        <v>6.32</v>
      </c>
      <c r="E672">
        <v>0.09</v>
      </c>
      <c r="F672">
        <v>6.31</v>
      </c>
      <c r="G672">
        <v>6.32</v>
      </c>
      <c r="H672">
        <v>140843</v>
      </c>
      <c r="I672">
        <v>616</v>
      </c>
      <c r="J672">
        <v>-0.15</v>
      </c>
      <c r="K672">
        <v>4.67</v>
      </c>
      <c r="L672">
        <v>6.27</v>
      </c>
      <c r="M672">
        <v>6.34</v>
      </c>
      <c r="N672">
        <v>6.14</v>
      </c>
      <c r="O672">
        <v>6.23</v>
      </c>
      <c r="P672">
        <v>59.54</v>
      </c>
      <c r="Q672">
        <v>88159176</v>
      </c>
      <c r="R672">
        <v>0.61</v>
      </c>
      <c r="S672" t="s">
        <v>169</v>
      </c>
      <c r="T672" t="s">
        <v>95</v>
      </c>
      <c r="U672">
        <v>3.21</v>
      </c>
      <c r="V672">
        <v>6.26</v>
      </c>
      <c r="W672">
        <v>43418</v>
      </c>
      <c r="X672">
        <v>97425</v>
      </c>
      <c r="Y672">
        <v>0.45</v>
      </c>
      <c r="Z672">
        <v>905</v>
      </c>
      <c r="AA672">
        <v>654</v>
      </c>
      <c r="AB672" t="s">
        <v>31</v>
      </c>
    </row>
    <row r="673" spans="1:28">
      <c r="A673" t="str">
        <f>"600797"</f>
        <v>600797</v>
      </c>
      <c r="B673" t="s">
        <v>836</v>
      </c>
      <c r="C673">
        <v>1.1499999999999999</v>
      </c>
      <c r="D673">
        <v>6.18</v>
      </c>
      <c r="E673">
        <v>7.0000000000000007E-2</v>
      </c>
      <c r="F673">
        <v>6.17</v>
      </c>
      <c r="G673">
        <v>6.18</v>
      </c>
      <c r="H673">
        <v>215813</v>
      </c>
      <c r="I673">
        <v>291</v>
      </c>
      <c r="J673">
        <v>0.16</v>
      </c>
      <c r="K673">
        <v>2.63</v>
      </c>
      <c r="L673">
        <v>6.09</v>
      </c>
      <c r="M673">
        <v>6.19</v>
      </c>
      <c r="N673">
        <v>6.01</v>
      </c>
      <c r="O673">
        <v>6.11</v>
      </c>
      <c r="P673">
        <v>158.66</v>
      </c>
      <c r="Q673">
        <v>132048904</v>
      </c>
      <c r="R673">
        <v>0.43</v>
      </c>
      <c r="S673" t="s">
        <v>383</v>
      </c>
      <c r="T673" t="s">
        <v>95</v>
      </c>
      <c r="U673">
        <v>2.95</v>
      </c>
      <c r="V673">
        <v>6.12</v>
      </c>
      <c r="W673">
        <v>96995</v>
      </c>
      <c r="X673">
        <v>118818</v>
      </c>
      <c r="Y673">
        <v>0.82</v>
      </c>
      <c r="Z673">
        <v>1180</v>
      </c>
      <c r="AA673">
        <v>1152</v>
      </c>
      <c r="AB673" t="s">
        <v>31</v>
      </c>
    </row>
    <row r="674" spans="1:28">
      <c r="A674" t="str">
        <f>"600798"</f>
        <v>600798</v>
      </c>
      <c r="B674" t="s">
        <v>837</v>
      </c>
      <c r="C674">
        <v>1.82</v>
      </c>
      <c r="D674">
        <v>3.35</v>
      </c>
      <c r="E674">
        <v>0.06</v>
      </c>
      <c r="F674">
        <v>3.34</v>
      </c>
      <c r="G674">
        <v>3.35</v>
      </c>
      <c r="H674">
        <v>22345</v>
      </c>
      <c r="I674">
        <v>213</v>
      </c>
      <c r="J674">
        <v>0</v>
      </c>
      <c r="K674">
        <v>0.26</v>
      </c>
      <c r="L674">
        <v>3.3</v>
      </c>
      <c r="M674">
        <v>3.36</v>
      </c>
      <c r="N674">
        <v>3.26</v>
      </c>
      <c r="O674">
        <v>3.29</v>
      </c>
      <c r="P674" t="s">
        <v>31</v>
      </c>
      <c r="Q674">
        <v>7386273</v>
      </c>
      <c r="R674">
        <v>0.64</v>
      </c>
      <c r="S674" t="s">
        <v>65</v>
      </c>
      <c r="T674" t="s">
        <v>95</v>
      </c>
      <c r="U674">
        <v>3.04</v>
      </c>
      <c r="V674">
        <v>3.31</v>
      </c>
      <c r="W674">
        <v>8643</v>
      </c>
      <c r="X674">
        <v>13702</v>
      </c>
      <c r="Y674">
        <v>0.63</v>
      </c>
      <c r="Z674">
        <v>234</v>
      </c>
      <c r="AA674">
        <v>68</v>
      </c>
      <c r="AB674" t="s">
        <v>31</v>
      </c>
    </row>
    <row r="675" spans="1:28">
      <c r="A675" t="str">
        <f>"600800"</f>
        <v>600800</v>
      </c>
      <c r="B675" t="s">
        <v>838</v>
      </c>
      <c r="C675">
        <v>5.9</v>
      </c>
      <c r="D675">
        <v>5.56</v>
      </c>
      <c r="E675">
        <v>0.31</v>
      </c>
      <c r="F675">
        <v>5.55</v>
      </c>
      <c r="G675">
        <v>5.56</v>
      </c>
      <c r="H675">
        <v>176079</v>
      </c>
      <c r="I675">
        <v>24</v>
      </c>
      <c r="J675">
        <v>0</v>
      </c>
      <c r="K675">
        <v>2.9</v>
      </c>
      <c r="L675">
        <v>5.29</v>
      </c>
      <c r="M675">
        <v>5.6</v>
      </c>
      <c r="N675">
        <v>5.21</v>
      </c>
      <c r="O675">
        <v>5.25</v>
      </c>
      <c r="P675">
        <v>737.13</v>
      </c>
      <c r="Q675">
        <v>95796944</v>
      </c>
      <c r="R675">
        <v>1.1100000000000001</v>
      </c>
      <c r="S675" t="s">
        <v>94</v>
      </c>
      <c r="T675" t="s">
        <v>151</v>
      </c>
      <c r="U675">
        <v>7.43</v>
      </c>
      <c r="V675">
        <v>5.44</v>
      </c>
      <c r="W675">
        <v>75821</v>
      </c>
      <c r="X675">
        <v>100258</v>
      </c>
      <c r="Y675">
        <v>0.76</v>
      </c>
      <c r="Z675">
        <v>11356</v>
      </c>
      <c r="AA675">
        <v>185</v>
      </c>
      <c r="AB675" t="s">
        <v>31</v>
      </c>
    </row>
    <row r="676" spans="1:28">
      <c r="A676" t="str">
        <f>"600801"</f>
        <v>600801</v>
      </c>
      <c r="B676" t="s">
        <v>839</v>
      </c>
      <c r="C676">
        <v>0.42</v>
      </c>
      <c r="D676">
        <v>11.84</v>
      </c>
      <c r="E676">
        <v>0.05</v>
      </c>
      <c r="F676">
        <v>11.84</v>
      </c>
      <c r="G676">
        <v>11.85</v>
      </c>
      <c r="H676">
        <v>43411</v>
      </c>
      <c r="I676">
        <v>34</v>
      </c>
      <c r="J676">
        <v>0.08</v>
      </c>
      <c r="K676">
        <v>0.78</v>
      </c>
      <c r="L676">
        <v>11.77</v>
      </c>
      <c r="M676">
        <v>11.86</v>
      </c>
      <c r="N676">
        <v>11.62</v>
      </c>
      <c r="O676">
        <v>11.79</v>
      </c>
      <c r="P676">
        <v>14.88</v>
      </c>
      <c r="Q676">
        <v>51062016</v>
      </c>
      <c r="R676">
        <v>0.46</v>
      </c>
      <c r="S676" t="s">
        <v>312</v>
      </c>
      <c r="T676" t="s">
        <v>37</v>
      </c>
      <c r="U676">
        <v>2.04</v>
      </c>
      <c r="V676">
        <v>11.76</v>
      </c>
      <c r="W676">
        <v>23526</v>
      </c>
      <c r="X676">
        <v>19885</v>
      </c>
      <c r="Y676">
        <v>1.18</v>
      </c>
      <c r="Z676">
        <v>86</v>
      </c>
      <c r="AA676">
        <v>809</v>
      </c>
      <c r="AB676" t="s">
        <v>31</v>
      </c>
    </row>
    <row r="677" spans="1:28">
      <c r="A677" t="str">
        <f>"600802"</f>
        <v>600802</v>
      </c>
      <c r="B677" t="s">
        <v>840</v>
      </c>
      <c r="C677">
        <v>1.52</v>
      </c>
      <c r="D677">
        <v>6.02</v>
      </c>
      <c r="E677">
        <v>0.09</v>
      </c>
      <c r="F677">
        <v>6.03</v>
      </c>
      <c r="G677">
        <v>6.04</v>
      </c>
      <c r="H677">
        <v>50629</v>
      </c>
      <c r="I677">
        <v>30</v>
      </c>
      <c r="J677">
        <v>-0.16</v>
      </c>
      <c r="K677">
        <v>1.33</v>
      </c>
      <c r="L677">
        <v>5.94</v>
      </c>
      <c r="M677">
        <v>6.06</v>
      </c>
      <c r="N677">
        <v>5.93</v>
      </c>
      <c r="O677">
        <v>5.93</v>
      </c>
      <c r="P677" t="s">
        <v>31</v>
      </c>
      <c r="Q677">
        <v>30328816</v>
      </c>
      <c r="R677">
        <v>0.26</v>
      </c>
      <c r="S677" t="s">
        <v>312</v>
      </c>
      <c r="T677" t="s">
        <v>78</v>
      </c>
      <c r="U677">
        <v>2.19</v>
      </c>
      <c r="V677">
        <v>5.99</v>
      </c>
      <c r="W677">
        <v>29364</v>
      </c>
      <c r="X677">
        <v>21265</v>
      </c>
      <c r="Y677">
        <v>1.38</v>
      </c>
      <c r="Z677">
        <v>157</v>
      </c>
      <c r="AA677">
        <v>134</v>
      </c>
      <c r="AB677" t="s">
        <v>31</v>
      </c>
    </row>
    <row r="678" spans="1:28">
      <c r="A678" t="str">
        <f>"600803"</f>
        <v>600803</v>
      </c>
      <c r="B678" t="s">
        <v>841</v>
      </c>
      <c r="C678">
        <v>2.0299999999999998</v>
      </c>
      <c r="D678">
        <v>11.06</v>
      </c>
      <c r="E678">
        <v>0.22</v>
      </c>
      <c r="F678">
        <v>11.03</v>
      </c>
      <c r="G678">
        <v>11.06</v>
      </c>
      <c r="H678">
        <v>64232</v>
      </c>
      <c r="I678">
        <v>13</v>
      </c>
      <c r="J678">
        <v>-0.27</v>
      </c>
      <c r="K678">
        <v>3.4</v>
      </c>
      <c r="L678">
        <v>10.81</v>
      </c>
      <c r="M678">
        <v>11.11</v>
      </c>
      <c r="N678">
        <v>10.51</v>
      </c>
      <c r="O678">
        <v>10.84</v>
      </c>
      <c r="P678">
        <v>11.47</v>
      </c>
      <c r="Q678">
        <v>69774096</v>
      </c>
      <c r="R678">
        <v>0.5</v>
      </c>
      <c r="S678" t="s">
        <v>169</v>
      </c>
      <c r="T678" t="s">
        <v>224</v>
      </c>
      <c r="U678">
        <v>5.54</v>
      </c>
      <c r="V678">
        <v>10.86</v>
      </c>
      <c r="W678">
        <v>34675</v>
      </c>
      <c r="X678">
        <v>29557</v>
      </c>
      <c r="Y678">
        <v>1.17</v>
      </c>
      <c r="Z678">
        <v>10</v>
      </c>
      <c r="AA678">
        <v>147</v>
      </c>
      <c r="AB678" t="s">
        <v>31</v>
      </c>
    </row>
    <row r="679" spans="1:28">
      <c r="A679" t="str">
        <f>"600804"</f>
        <v>600804</v>
      </c>
      <c r="B679" t="s">
        <v>842</v>
      </c>
      <c r="C679">
        <v>0</v>
      </c>
      <c r="D679">
        <v>17.440000000000001</v>
      </c>
      <c r="E679">
        <v>0</v>
      </c>
      <c r="F679">
        <v>17.440000000000001</v>
      </c>
      <c r="G679">
        <v>17.45</v>
      </c>
      <c r="H679">
        <v>386043</v>
      </c>
      <c r="I679">
        <v>181</v>
      </c>
      <c r="J679">
        <v>-0.05</v>
      </c>
      <c r="K679">
        <v>2.88</v>
      </c>
      <c r="L679">
        <v>17.39</v>
      </c>
      <c r="M679">
        <v>17.8</v>
      </c>
      <c r="N679">
        <v>17.149999999999999</v>
      </c>
      <c r="O679">
        <v>17.440000000000001</v>
      </c>
      <c r="P679">
        <v>56.29</v>
      </c>
      <c r="Q679">
        <v>673953664</v>
      </c>
      <c r="R679">
        <v>0.83</v>
      </c>
      <c r="S679" t="s">
        <v>92</v>
      </c>
      <c r="T679" t="s">
        <v>88</v>
      </c>
      <c r="U679">
        <v>3.73</v>
      </c>
      <c r="V679">
        <v>17.46</v>
      </c>
      <c r="W679">
        <v>217393</v>
      </c>
      <c r="X679">
        <v>168650</v>
      </c>
      <c r="Y679">
        <v>1.29</v>
      </c>
      <c r="Z679">
        <v>151</v>
      </c>
      <c r="AA679">
        <v>709</v>
      </c>
      <c r="AB679" t="s">
        <v>31</v>
      </c>
    </row>
    <row r="680" spans="1:28">
      <c r="A680" t="str">
        <f>"600805"</f>
        <v>600805</v>
      </c>
      <c r="B680" t="s">
        <v>843</v>
      </c>
      <c r="C680">
        <v>4.0599999999999996</v>
      </c>
      <c r="D680">
        <v>10.52</v>
      </c>
      <c r="E680">
        <v>0.41</v>
      </c>
      <c r="F680">
        <v>10.51</v>
      </c>
      <c r="G680">
        <v>10.52</v>
      </c>
      <c r="H680">
        <v>242105</v>
      </c>
      <c r="I680">
        <v>82</v>
      </c>
      <c r="J680">
        <v>0.09</v>
      </c>
      <c r="K680">
        <v>2.85</v>
      </c>
      <c r="L680">
        <v>10.08</v>
      </c>
      <c r="M680">
        <v>10.54</v>
      </c>
      <c r="N680">
        <v>10.02</v>
      </c>
      <c r="O680">
        <v>10.11</v>
      </c>
      <c r="P680">
        <v>6.76</v>
      </c>
      <c r="Q680">
        <v>251044800</v>
      </c>
      <c r="R680">
        <v>0.96</v>
      </c>
      <c r="S680" t="s">
        <v>94</v>
      </c>
      <c r="T680" t="s">
        <v>120</v>
      </c>
      <c r="U680">
        <v>5.14</v>
      </c>
      <c r="V680">
        <v>10.37</v>
      </c>
      <c r="W680">
        <v>104233</v>
      </c>
      <c r="X680">
        <v>137872</v>
      </c>
      <c r="Y680">
        <v>0.76</v>
      </c>
      <c r="Z680">
        <v>361</v>
      </c>
      <c r="AA680">
        <v>407</v>
      </c>
      <c r="AB680" t="s">
        <v>31</v>
      </c>
    </row>
    <row r="681" spans="1:28">
      <c r="A681" t="str">
        <f>"600806"</f>
        <v>600806</v>
      </c>
      <c r="B681" t="s">
        <v>844</v>
      </c>
      <c r="C681">
        <v>1.0900000000000001</v>
      </c>
      <c r="D681">
        <v>4.6500000000000004</v>
      </c>
      <c r="E681">
        <v>0.05</v>
      </c>
      <c r="F681">
        <v>4.6399999999999997</v>
      </c>
      <c r="G681">
        <v>4.6500000000000004</v>
      </c>
      <c r="H681">
        <v>16125</v>
      </c>
      <c r="I681">
        <v>16</v>
      </c>
      <c r="J681">
        <v>0.21</v>
      </c>
      <c r="K681">
        <v>0.41</v>
      </c>
      <c r="L681">
        <v>4.5199999999999996</v>
      </c>
      <c r="M681">
        <v>4.6500000000000004</v>
      </c>
      <c r="N681">
        <v>4.5</v>
      </c>
      <c r="O681">
        <v>4.5999999999999996</v>
      </c>
      <c r="P681" t="s">
        <v>31</v>
      </c>
      <c r="Q681">
        <v>7413924</v>
      </c>
      <c r="R681">
        <v>0.55000000000000004</v>
      </c>
      <c r="S681" t="s">
        <v>341</v>
      </c>
      <c r="T681" t="s">
        <v>170</v>
      </c>
      <c r="U681">
        <v>3.26</v>
      </c>
      <c r="V681">
        <v>4.5999999999999996</v>
      </c>
      <c r="W681">
        <v>7171</v>
      </c>
      <c r="X681">
        <v>8954</v>
      </c>
      <c r="Y681">
        <v>0.8</v>
      </c>
      <c r="Z681">
        <v>30</v>
      </c>
      <c r="AA681">
        <v>75</v>
      </c>
      <c r="AB681" t="s">
        <v>31</v>
      </c>
    </row>
    <row r="682" spans="1:28">
      <c r="A682" t="str">
        <f>"600807"</f>
        <v>600807</v>
      </c>
      <c r="B682" t="s">
        <v>845</v>
      </c>
      <c r="C682">
        <v>2.48</v>
      </c>
      <c r="D682">
        <v>7.45</v>
      </c>
      <c r="E682">
        <v>0.18</v>
      </c>
      <c r="F682">
        <v>7.45</v>
      </c>
      <c r="G682">
        <v>7.48</v>
      </c>
      <c r="H682">
        <v>20335</v>
      </c>
      <c r="I682">
        <v>20</v>
      </c>
      <c r="J682">
        <v>0.26</v>
      </c>
      <c r="K682">
        <v>0.66</v>
      </c>
      <c r="L682">
        <v>7.37</v>
      </c>
      <c r="M682">
        <v>7.48</v>
      </c>
      <c r="N682">
        <v>7.2</v>
      </c>
      <c r="O682">
        <v>7.27</v>
      </c>
      <c r="P682">
        <v>181.61</v>
      </c>
      <c r="Q682">
        <v>14920398</v>
      </c>
      <c r="R682">
        <v>1.1599999999999999</v>
      </c>
      <c r="S682" t="s">
        <v>97</v>
      </c>
      <c r="T682" t="s">
        <v>57</v>
      </c>
      <c r="U682">
        <v>3.85</v>
      </c>
      <c r="V682">
        <v>7.34</v>
      </c>
      <c r="W682">
        <v>8813</v>
      </c>
      <c r="X682">
        <v>11522</v>
      </c>
      <c r="Y682">
        <v>0.76</v>
      </c>
      <c r="Z682">
        <v>32</v>
      </c>
      <c r="AA682">
        <v>119</v>
      </c>
      <c r="AB682" t="s">
        <v>31</v>
      </c>
    </row>
    <row r="683" spans="1:28">
      <c r="A683" t="str">
        <f>"600808"</f>
        <v>600808</v>
      </c>
      <c r="B683" t="s">
        <v>846</v>
      </c>
      <c r="C683">
        <v>1.73</v>
      </c>
      <c r="D683">
        <v>1.76</v>
      </c>
      <c r="E683">
        <v>0.03</v>
      </c>
      <c r="F683">
        <v>1.75</v>
      </c>
      <c r="G683">
        <v>1.76</v>
      </c>
      <c r="H683">
        <v>84569</v>
      </c>
      <c r="I683">
        <v>109</v>
      </c>
      <c r="J683">
        <v>0</v>
      </c>
      <c r="K683">
        <v>0.14000000000000001</v>
      </c>
      <c r="L683">
        <v>1.72</v>
      </c>
      <c r="M683">
        <v>1.77</v>
      </c>
      <c r="N683">
        <v>1.72</v>
      </c>
      <c r="O683">
        <v>1.73</v>
      </c>
      <c r="P683" t="s">
        <v>31</v>
      </c>
      <c r="Q683">
        <v>14757110</v>
      </c>
      <c r="R683">
        <v>0.92</v>
      </c>
      <c r="S683" t="s">
        <v>36</v>
      </c>
      <c r="T683" t="s">
        <v>52</v>
      </c>
      <c r="U683">
        <v>2.89</v>
      </c>
      <c r="V683">
        <v>1.74</v>
      </c>
      <c r="W683">
        <v>26572</v>
      </c>
      <c r="X683">
        <v>57997</v>
      </c>
      <c r="Y683">
        <v>0.46</v>
      </c>
      <c r="Z683">
        <v>3816</v>
      </c>
      <c r="AA683">
        <v>6295</v>
      </c>
      <c r="AB683" t="s">
        <v>31</v>
      </c>
    </row>
    <row r="684" spans="1:28">
      <c r="A684" t="str">
        <f>"600809"</f>
        <v>600809</v>
      </c>
      <c r="B684" t="s">
        <v>847</v>
      </c>
      <c r="C684">
        <v>-0.12</v>
      </c>
      <c r="D684">
        <v>16.72</v>
      </c>
      <c r="E684">
        <v>-0.02</v>
      </c>
      <c r="F684">
        <v>16.72</v>
      </c>
      <c r="G684">
        <v>16.73</v>
      </c>
      <c r="H684">
        <v>44538</v>
      </c>
      <c r="I684">
        <v>50</v>
      </c>
      <c r="J684">
        <v>0.17</v>
      </c>
      <c r="K684">
        <v>0.51</v>
      </c>
      <c r="L684">
        <v>16.71</v>
      </c>
      <c r="M684">
        <v>16.79</v>
      </c>
      <c r="N684">
        <v>16.53</v>
      </c>
      <c r="O684">
        <v>16.739999999999998</v>
      </c>
      <c r="P684">
        <v>9.15</v>
      </c>
      <c r="Q684">
        <v>74286952</v>
      </c>
      <c r="R684">
        <v>0.67</v>
      </c>
      <c r="S684" t="s">
        <v>291</v>
      </c>
      <c r="T684" t="s">
        <v>212</v>
      </c>
      <c r="U684">
        <v>1.55</v>
      </c>
      <c r="V684">
        <v>16.68</v>
      </c>
      <c r="W684">
        <v>25339</v>
      </c>
      <c r="X684">
        <v>19199</v>
      </c>
      <c r="Y684">
        <v>1.32</v>
      </c>
      <c r="Z684">
        <v>80</v>
      </c>
      <c r="AA684">
        <v>21</v>
      </c>
      <c r="AB684" t="s">
        <v>31</v>
      </c>
    </row>
    <row r="685" spans="1:28">
      <c r="A685" t="str">
        <f>"600810"</f>
        <v>600810</v>
      </c>
      <c r="B685" t="s">
        <v>848</v>
      </c>
      <c r="C685">
        <v>1.23</v>
      </c>
      <c r="D685">
        <v>4.93</v>
      </c>
      <c r="E685">
        <v>0.06</v>
      </c>
      <c r="F685">
        <v>4.92</v>
      </c>
      <c r="G685">
        <v>4.93</v>
      </c>
      <c r="H685">
        <v>26713</v>
      </c>
      <c r="I685">
        <v>20</v>
      </c>
      <c r="J685">
        <v>0.2</v>
      </c>
      <c r="K685">
        <v>0.6</v>
      </c>
      <c r="L685">
        <v>4.91</v>
      </c>
      <c r="M685">
        <v>4.93</v>
      </c>
      <c r="N685">
        <v>4.8</v>
      </c>
      <c r="O685">
        <v>4.87</v>
      </c>
      <c r="P685" t="s">
        <v>31</v>
      </c>
      <c r="Q685">
        <v>13069939</v>
      </c>
      <c r="R685">
        <v>0.89</v>
      </c>
      <c r="S685" t="s">
        <v>115</v>
      </c>
      <c r="T685" t="s">
        <v>61</v>
      </c>
      <c r="U685">
        <v>2.67</v>
      </c>
      <c r="V685">
        <v>4.8899999999999997</v>
      </c>
      <c r="W685">
        <v>15137</v>
      </c>
      <c r="X685">
        <v>11576</v>
      </c>
      <c r="Y685">
        <v>1.31</v>
      </c>
      <c r="Z685">
        <v>39</v>
      </c>
      <c r="AA685">
        <v>250</v>
      </c>
      <c r="AB685" t="s">
        <v>31</v>
      </c>
    </row>
    <row r="686" spans="1:28">
      <c r="A686" t="str">
        <f>"600811"</f>
        <v>600811</v>
      </c>
      <c r="B686" t="s">
        <v>849</v>
      </c>
      <c r="C686">
        <v>0.84</v>
      </c>
      <c r="D686">
        <v>6.03</v>
      </c>
      <c r="E686">
        <v>0.05</v>
      </c>
      <c r="F686">
        <v>6.03</v>
      </c>
      <c r="G686">
        <v>6.04</v>
      </c>
      <c r="H686">
        <v>101388</v>
      </c>
      <c r="I686">
        <v>2</v>
      </c>
      <c r="J686">
        <v>0</v>
      </c>
      <c r="K686">
        <v>0.61</v>
      </c>
      <c r="L686">
        <v>5.9</v>
      </c>
      <c r="M686">
        <v>6.08</v>
      </c>
      <c r="N686">
        <v>5.9</v>
      </c>
      <c r="O686">
        <v>5.98</v>
      </c>
      <c r="P686">
        <v>9.5399999999999991</v>
      </c>
      <c r="Q686">
        <v>60861592</v>
      </c>
      <c r="R686">
        <v>0.6</v>
      </c>
      <c r="S686" t="s">
        <v>94</v>
      </c>
      <c r="T686" t="s">
        <v>85</v>
      </c>
      <c r="U686">
        <v>3.01</v>
      </c>
      <c r="V686">
        <v>6</v>
      </c>
      <c r="W686">
        <v>53701</v>
      </c>
      <c r="X686">
        <v>47687</v>
      </c>
      <c r="Y686">
        <v>1.1299999999999999</v>
      </c>
      <c r="Z686">
        <v>171</v>
      </c>
      <c r="AA686">
        <v>490</v>
      </c>
      <c r="AB686" t="s">
        <v>31</v>
      </c>
    </row>
    <row r="687" spans="1:28">
      <c r="A687" t="str">
        <f>"600812"</f>
        <v>600812</v>
      </c>
      <c r="B687" t="s">
        <v>850</v>
      </c>
      <c r="C687">
        <v>0.61</v>
      </c>
      <c r="D687">
        <v>4.95</v>
      </c>
      <c r="E687">
        <v>0.03</v>
      </c>
      <c r="F687">
        <v>4.95</v>
      </c>
      <c r="G687">
        <v>4.96</v>
      </c>
      <c r="H687">
        <v>57924</v>
      </c>
      <c r="I687">
        <v>30</v>
      </c>
      <c r="J687">
        <v>-0.2</v>
      </c>
      <c r="K687">
        <v>0.56000000000000005</v>
      </c>
      <c r="L687">
        <v>4.91</v>
      </c>
      <c r="M687">
        <v>4.9800000000000004</v>
      </c>
      <c r="N687">
        <v>4.8099999999999996</v>
      </c>
      <c r="O687">
        <v>4.92</v>
      </c>
      <c r="P687">
        <v>403.98</v>
      </c>
      <c r="Q687">
        <v>28370920</v>
      </c>
      <c r="R687">
        <v>0.87</v>
      </c>
      <c r="S687" t="s">
        <v>117</v>
      </c>
      <c r="T687" t="s">
        <v>224</v>
      </c>
      <c r="U687">
        <v>3.46</v>
      </c>
      <c r="V687">
        <v>4.9000000000000004</v>
      </c>
      <c r="W687">
        <v>25679</v>
      </c>
      <c r="X687">
        <v>32245</v>
      </c>
      <c r="Y687">
        <v>0.8</v>
      </c>
      <c r="Z687">
        <v>42</v>
      </c>
      <c r="AA687">
        <v>479</v>
      </c>
      <c r="AB687" t="s">
        <v>31</v>
      </c>
    </row>
    <row r="688" spans="1:28">
      <c r="A688" t="str">
        <f>"600814"</f>
        <v>600814</v>
      </c>
      <c r="B688" t="s">
        <v>851</v>
      </c>
      <c r="C688">
        <v>2.3199999999999998</v>
      </c>
      <c r="D688">
        <v>6.61</v>
      </c>
      <c r="E688">
        <v>0.15</v>
      </c>
      <c r="F688">
        <v>6.61</v>
      </c>
      <c r="G688">
        <v>6.62</v>
      </c>
      <c r="H688">
        <v>15681</v>
      </c>
      <c r="I688">
        <v>1</v>
      </c>
      <c r="J688">
        <v>0</v>
      </c>
      <c r="K688">
        <v>0.51</v>
      </c>
      <c r="L688">
        <v>6.7</v>
      </c>
      <c r="M688">
        <v>6.7</v>
      </c>
      <c r="N688">
        <v>6.45</v>
      </c>
      <c r="O688">
        <v>6.46</v>
      </c>
      <c r="P688">
        <v>29.39</v>
      </c>
      <c r="Q688">
        <v>10293308</v>
      </c>
      <c r="R688">
        <v>0.44</v>
      </c>
      <c r="S688" t="s">
        <v>374</v>
      </c>
      <c r="T688" t="s">
        <v>95</v>
      </c>
      <c r="U688">
        <v>3.87</v>
      </c>
      <c r="V688">
        <v>6.56</v>
      </c>
      <c r="W688">
        <v>7870</v>
      </c>
      <c r="X688">
        <v>7811</v>
      </c>
      <c r="Y688">
        <v>1.01</v>
      </c>
      <c r="Z688">
        <v>6</v>
      </c>
      <c r="AA688">
        <v>251</v>
      </c>
      <c r="AB688" t="s">
        <v>31</v>
      </c>
    </row>
    <row r="689" spans="1:28">
      <c r="A689" t="str">
        <f>"600815"</f>
        <v>600815</v>
      </c>
      <c r="B689" t="s">
        <v>852</v>
      </c>
      <c r="C689">
        <v>2.2000000000000002</v>
      </c>
      <c r="D689">
        <v>4.1900000000000004</v>
      </c>
      <c r="E689">
        <v>0.09</v>
      </c>
      <c r="F689">
        <v>4.1900000000000004</v>
      </c>
      <c r="G689">
        <v>4.2</v>
      </c>
      <c r="H689">
        <v>63650</v>
      </c>
      <c r="I689">
        <v>27</v>
      </c>
      <c r="J689">
        <v>0.23</v>
      </c>
      <c r="K689">
        <v>0.68</v>
      </c>
      <c r="L689">
        <v>4.07</v>
      </c>
      <c r="M689">
        <v>4.2</v>
      </c>
      <c r="N689">
        <v>4.0599999999999996</v>
      </c>
      <c r="O689">
        <v>4.0999999999999996</v>
      </c>
      <c r="P689" t="s">
        <v>31</v>
      </c>
      <c r="Q689">
        <v>26234232</v>
      </c>
      <c r="R689">
        <v>0.31</v>
      </c>
      <c r="S689" t="s">
        <v>75</v>
      </c>
      <c r="T689" t="s">
        <v>78</v>
      </c>
      <c r="U689">
        <v>3.41</v>
      </c>
      <c r="V689">
        <v>4.12</v>
      </c>
      <c r="W689">
        <v>31335</v>
      </c>
      <c r="X689">
        <v>32315</v>
      </c>
      <c r="Y689">
        <v>0.97</v>
      </c>
      <c r="Z689">
        <v>23</v>
      </c>
      <c r="AA689">
        <v>1149</v>
      </c>
      <c r="AB689" t="s">
        <v>31</v>
      </c>
    </row>
    <row r="690" spans="1:28">
      <c r="A690" t="str">
        <f>"600816"</f>
        <v>600816</v>
      </c>
      <c r="B690" t="s">
        <v>853</v>
      </c>
      <c r="C690">
        <v>0.96</v>
      </c>
      <c r="D690">
        <v>14.65</v>
      </c>
      <c r="E690">
        <v>0.14000000000000001</v>
      </c>
      <c r="F690">
        <v>14.65</v>
      </c>
      <c r="G690">
        <v>14.66</v>
      </c>
      <c r="H690">
        <v>58571</v>
      </c>
      <c r="I690">
        <v>100</v>
      </c>
      <c r="J690">
        <v>0</v>
      </c>
      <c r="K690">
        <v>1.29</v>
      </c>
      <c r="L690">
        <v>14.4</v>
      </c>
      <c r="M690">
        <v>14.75</v>
      </c>
      <c r="N690">
        <v>14.3</v>
      </c>
      <c r="O690">
        <v>14.51</v>
      </c>
      <c r="P690">
        <v>35.07</v>
      </c>
      <c r="Q690">
        <v>85448184</v>
      </c>
      <c r="R690">
        <v>0.66</v>
      </c>
      <c r="S690" t="s">
        <v>692</v>
      </c>
      <c r="T690" t="s">
        <v>30</v>
      </c>
      <c r="U690">
        <v>3.1</v>
      </c>
      <c r="V690">
        <v>14.59</v>
      </c>
      <c r="W690">
        <v>31855</v>
      </c>
      <c r="X690">
        <v>26716</v>
      </c>
      <c r="Y690">
        <v>1.19</v>
      </c>
      <c r="Z690">
        <v>77</v>
      </c>
      <c r="AA690">
        <v>241</v>
      </c>
      <c r="AB690" t="s">
        <v>31</v>
      </c>
    </row>
    <row r="691" spans="1:28">
      <c r="A691" t="str">
        <f>"600817"</f>
        <v>600817</v>
      </c>
      <c r="B691" t="s">
        <v>854</v>
      </c>
      <c r="C691">
        <v>2.5099999999999998</v>
      </c>
      <c r="D691">
        <v>9.7899999999999991</v>
      </c>
      <c r="E691">
        <v>0.24</v>
      </c>
      <c r="F691">
        <v>9.7799999999999994</v>
      </c>
      <c r="G691">
        <v>9.7899999999999991</v>
      </c>
      <c r="H691">
        <v>14123</v>
      </c>
      <c r="I691">
        <v>39</v>
      </c>
      <c r="J691">
        <v>0</v>
      </c>
      <c r="K691">
        <v>1.26</v>
      </c>
      <c r="L691">
        <v>9.5299999999999994</v>
      </c>
      <c r="M691">
        <v>9.85</v>
      </c>
      <c r="N691">
        <v>9.51</v>
      </c>
      <c r="O691">
        <v>9.5500000000000007</v>
      </c>
      <c r="P691">
        <v>673.55</v>
      </c>
      <c r="Q691">
        <v>13708756</v>
      </c>
      <c r="R691">
        <v>0.43</v>
      </c>
      <c r="S691" t="s">
        <v>241</v>
      </c>
      <c r="T691" t="s">
        <v>30</v>
      </c>
      <c r="U691">
        <v>3.56</v>
      </c>
      <c r="V691">
        <v>9.7100000000000009</v>
      </c>
      <c r="W691">
        <v>5109</v>
      </c>
      <c r="X691">
        <v>9014</v>
      </c>
      <c r="Y691">
        <v>0.56999999999999995</v>
      </c>
      <c r="Z691">
        <v>56</v>
      </c>
      <c r="AA691">
        <v>205</v>
      </c>
      <c r="AB691" t="s">
        <v>31</v>
      </c>
    </row>
    <row r="692" spans="1:28">
      <c r="A692" t="str">
        <f>"600818"</f>
        <v>600818</v>
      </c>
      <c r="B692" t="s">
        <v>855</v>
      </c>
      <c r="C692">
        <v>0.15</v>
      </c>
      <c r="D692">
        <v>13.02</v>
      </c>
      <c r="E692">
        <v>0.02</v>
      </c>
      <c r="F692">
        <v>13.01</v>
      </c>
      <c r="G692">
        <v>13.02</v>
      </c>
      <c r="H692">
        <v>12425</v>
      </c>
      <c r="I692">
        <v>2</v>
      </c>
      <c r="J692">
        <v>-0.22</v>
      </c>
      <c r="K692">
        <v>0.52</v>
      </c>
      <c r="L692">
        <v>13.16</v>
      </c>
      <c r="M692">
        <v>13.3</v>
      </c>
      <c r="N692">
        <v>12.91</v>
      </c>
      <c r="O692">
        <v>13</v>
      </c>
      <c r="P692">
        <v>312.42</v>
      </c>
      <c r="Q692">
        <v>16221163</v>
      </c>
      <c r="R692">
        <v>0.55000000000000004</v>
      </c>
      <c r="S692" t="s">
        <v>129</v>
      </c>
      <c r="T692" t="s">
        <v>30</v>
      </c>
      <c r="U692">
        <v>3</v>
      </c>
      <c r="V692">
        <v>13.05</v>
      </c>
      <c r="W692">
        <v>7200</v>
      </c>
      <c r="X692">
        <v>5225</v>
      </c>
      <c r="Y692">
        <v>1.38</v>
      </c>
      <c r="Z692">
        <v>83</v>
      </c>
      <c r="AA692">
        <v>10</v>
      </c>
      <c r="AB692" t="s">
        <v>31</v>
      </c>
    </row>
    <row r="693" spans="1:28">
      <c r="A693" t="str">
        <f>"600819"</f>
        <v>600819</v>
      </c>
      <c r="B693" t="s">
        <v>856</v>
      </c>
      <c r="C693">
        <v>1.42</v>
      </c>
      <c r="D693">
        <v>5.71</v>
      </c>
      <c r="E693">
        <v>0.08</v>
      </c>
      <c r="F693">
        <v>5.71</v>
      </c>
      <c r="G693">
        <v>5.73</v>
      </c>
      <c r="H693">
        <v>14400</v>
      </c>
      <c r="I693">
        <v>20</v>
      </c>
      <c r="J693">
        <v>-0.17</v>
      </c>
      <c r="K693">
        <v>0.26</v>
      </c>
      <c r="L693">
        <v>5.65</v>
      </c>
      <c r="M693">
        <v>5.73</v>
      </c>
      <c r="N693">
        <v>5.6</v>
      </c>
      <c r="O693">
        <v>5.63</v>
      </c>
      <c r="P693">
        <v>31.99</v>
      </c>
      <c r="Q693">
        <v>8163828</v>
      </c>
      <c r="R693">
        <v>0.95</v>
      </c>
      <c r="S693" t="s">
        <v>268</v>
      </c>
      <c r="T693" t="s">
        <v>30</v>
      </c>
      <c r="U693">
        <v>2.31</v>
      </c>
      <c r="V693">
        <v>5.67</v>
      </c>
      <c r="W693">
        <v>6747</v>
      </c>
      <c r="X693">
        <v>7653</v>
      </c>
      <c r="Y693">
        <v>0.88</v>
      </c>
      <c r="Z693">
        <v>20</v>
      </c>
      <c r="AA693">
        <v>196</v>
      </c>
      <c r="AB693" t="s">
        <v>31</v>
      </c>
    </row>
    <row r="694" spans="1:28">
      <c r="A694" t="str">
        <f>"600820"</f>
        <v>600820</v>
      </c>
      <c r="B694" t="s">
        <v>857</v>
      </c>
      <c r="C694">
        <v>1.72</v>
      </c>
      <c r="D694">
        <v>8.85</v>
      </c>
      <c r="E694">
        <v>0.15</v>
      </c>
      <c r="F694">
        <v>8.85</v>
      </c>
      <c r="G694">
        <v>8.86</v>
      </c>
      <c r="H694">
        <v>63344</v>
      </c>
      <c r="I694">
        <v>45</v>
      </c>
      <c r="J694">
        <v>0.11</v>
      </c>
      <c r="K694">
        <v>0.72</v>
      </c>
      <c r="L694">
        <v>8.7200000000000006</v>
      </c>
      <c r="M694">
        <v>8.86</v>
      </c>
      <c r="N694">
        <v>8.65</v>
      </c>
      <c r="O694">
        <v>8.6999999999999993</v>
      </c>
      <c r="P694">
        <v>9.41</v>
      </c>
      <c r="Q694">
        <v>55462168</v>
      </c>
      <c r="R694">
        <v>1.1200000000000001</v>
      </c>
      <c r="S694" t="s">
        <v>87</v>
      </c>
      <c r="T694" t="s">
        <v>30</v>
      </c>
      <c r="U694">
        <v>2.41</v>
      </c>
      <c r="V694">
        <v>8.76</v>
      </c>
      <c r="W694">
        <v>28177</v>
      </c>
      <c r="X694">
        <v>35167</v>
      </c>
      <c r="Y694">
        <v>0.8</v>
      </c>
      <c r="Z694">
        <v>183</v>
      </c>
      <c r="AA694">
        <v>389</v>
      </c>
      <c r="AB694" t="s">
        <v>31</v>
      </c>
    </row>
    <row r="695" spans="1:28">
      <c r="A695" t="str">
        <f>"600821"</f>
        <v>600821</v>
      </c>
      <c r="B695" t="s">
        <v>858</v>
      </c>
      <c r="C695">
        <v>10.11</v>
      </c>
      <c r="D695">
        <v>5.23</v>
      </c>
      <c r="E695">
        <v>0.48</v>
      </c>
      <c r="F695">
        <v>5.22</v>
      </c>
      <c r="G695">
        <v>5.23</v>
      </c>
      <c r="H695">
        <v>158244</v>
      </c>
      <c r="I695">
        <v>11</v>
      </c>
      <c r="J695">
        <v>0</v>
      </c>
      <c r="K695">
        <v>3.8</v>
      </c>
      <c r="L695">
        <v>4.68</v>
      </c>
      <c r="M695">
        <v>5.23</v>
      </c>
      <c r="N695">
        <v>4.68</v>
      </c>
      <c r="O695">
        <v>4.75</v>
      </c>
      <c r="P695">
        <v>209.37</v>
      </c>
      <c r="Q695">
        <v>80655720</v>
      </c>
      <c r="R695">
        <v>1.1399999999999999</v>
      </c>
      <c r="S695" t="s">
        <v>374</v>
      </c>
      <c r="T695" t="s">
        <v>151</v>
      </c>
      <c r="U695">
        <v>11.58</v>
      </c>
      <c r="V695">
        <v>5.0999999999999996</v>
      </c>
      <c r="W695">
        <v>68217</v>
      </c>
      <c r="X695">
        <v>90027</v>
      </c>
      <c r="Y695">
        <v>0.76</v>
      </c>
      <c r="Z695">
        <v>1522</v>
      </c>
      <c r="AA695">
        <v>1037</v>
      </c>
      <c r="AB695" t="s">
        <v>31</v>
      </c>
    </row>
    <row r="696" spans="1:28">
      <c r="A696" t="str">
        <f>"600822"</f>
        <v>600822</v>
      </c>
      <c r="B696" t="s">
        <v>859</v>
      </c>
      <c r="C696">
        <v>-0.93</v>
      </c>
      <c r="D696">
        <v>11.75</v>
      </c>
      <c r="E696">
        <v>-0.11</v>
      </c>
      <c r="F696">
        <v>11.76</v>
      </c>
      <c r="G696">
        <v>11.77</v>
      </c>
      <c r="H696">
        <v>125332</v>
      </c>
      <c r="I696">
        <v>5</v>
      </c>
      <c r="J696">
        <v>0</v>
      </c>
      <c r="K696">
        <v>3.16</v>
      </c>
      <c r="L696">
        <v>11.7</v>
      </c>
      <c r="M696">
        <v>11.99</v>
      </c>
      <c r="N696">
        <v>11.39</v>
      </c>
      <c r="O696">
        <v>11.86</v>
      </c>
      <c r="P696">
        <v>360.79</v>
      </c>
      <c r="Q696">
        <v>147032528</v>
      </c>
      <c r="R696">
        <v>0.75</v>
      </c>
      <c r="S696" t="s">
        <v>109</v>
      </c>
      <c r="T696" t="s">
        <v>30</v>
      </c>
      <c r="U696">
        <v>5.0599999999999996</v>
      </c>
      <c r="V696">
        <v>11.73</v>
      </c>
      <c r="W696">
        <v>57781</v>
      </c>
      <c r="X696">
        <v>67551</v>
      </c>
      <c r="Y696">
        <v>0.86</v>
      </c>
      <c r="Z696">
        <v>104</v>
      </c>
      <c r="AA696">
        <v>105</v>
      </c>
      <c r="AB696" t="s">
        <v>31</v>
      </c>
    </row>
    <row r="697" spans="1:28">
      <c r="A697" t="str">
        <f>"600823"</f>
        <v>600823</v>
      </c>
      <c r="B697" t="s">
        <v>860</v>
      </c>
      <c r="C697">
        <v>-1.1399999999999999</v>
      </c>
      <c r="D697">
        <v>9.5</v>
      </c>
      <c r="E697">
        <v>-0.11</v>
      </c>
      <c r="F697">
        <v>9.5</v>
      </c>
      <c r="G697">
        <v>9.51</v>
      </c>
      <c r="H697">
        <v>85191</v>
      </c>
      <c r="I697">
        <v>200</v>
      </c>
      <c r="J697">
        <v>0</v>
      </c>
      <c r="K697">
        <v>0.73</v>
      </c>
      <c r="L697">
        <v>9.49</v>
      </c>
      <c r="M697">
        <v>9.52</v>
      </c>
      <c r="N697">
        <v>9.26</v>
      </c>
      <c r="O697">
        <v>9.61</v>
      </c>
      <c r="P697">
        <v>7.9</v>
      </c>
      <c r="Q697">
        <v>79997808</v>
      </c>
      <c r="R697">
        <v>1.32</v>
      </c>
      <c r="S697" t="s">
        <v>90</v>
      </c>
      <c r="T697" t="s">
        <v>30</v>
      </c>
      <c r="U697">
        <v>2.71</v>
      </c>
      <c r="V697">
        <v>9.39</v>
      </c>
      <c r="W697">
        <v>38342</v>
      </c>
      <c r="X697">
        <v>46849</v>
      </c>
      <c r="Y697">
        <v>0.82</v>
      </c>
      <c r="Z697">
        <v>222</v>
      </c>
      <c r="AA697">
        <v>34</v>
      </c>
      <c r="AB697" t="s">
        <v>31</v>
      </c>
    </row>
    <row r="698" spans="1:28">
      <c r="A698" t="str">
        <f>"600824"</f>
        <v>600824</v>
      </c>
      <c r="B698" t="s">
        <v>861</v>
      </c>
      <c r="C698">
        <v>1.2</v>
      </c>
      <c r="D698">
        <v>5.04</v>
      </c>
      <c r="E698">
        <v>0.06</v>
      </c>
      <c r="F698">
        <v>5.03</v>
      </c>
      <c r="G698">
        <v>5.04</v>
      </c>
      <c r="H698">
        <v>47529</v>
      </c>
      <c r="I698">
        <v>21</v>
      </c>
      <c r="J698">
        <v>0.19</v>
      </c>
      <c r="K698">
        <v>0.54</v>
      </c>
      <c r="L698">
        <v>5.01</v>
      </c>
      <c r="M698">
        <v>5.05</v>
      </c>
      <c r="N698">
        <v>4.91</v>
      </c>
      <c r="O698">
        <v>4.9800000000000004</v>
      </c>
      <c r="P698">
        <v>22.44</v>
      </c>
      <c r="Q698">
        <v>23743686</v>
      </c>
      <c r="R698">
        <v>0.39</v>
      </c>
      <c r="S698" t="s">
        <v>374</v>
      </c>
      <c r="T698" t="s">
        <v>30</v>
      </c>
      <c r="U698">
        <v>2.81</v>
      </c>
      <c r="V698">
        <v>5</v>
      </c>
      <c r="W698">
        <v>21639</v>
      </c>
      <c r="X698">
        <v>25890</v>
      </c>
      <c r="Y698">
        <v>0.84</v>
      </c>
      <c r="Z698">
        <v>454</v>
      </c>
      <c r="AA698">
        <v>29</v>
      </c>
      <c r="AB698" t="s">
        <v>31</v>
      </c>
    </row>
    <row r="699" spans="1:28">
      <c r="A699" t="str">
        <f>"600825"</f>
        <v>600825</v>
      </c>
      <c r="B699" t="s">
        <v>862</v>
      </c>
      <c r="C699">
        <v>-2.39</v>
      </c>
      <c r="D699">
        <v>9.7899999999999991</v>
      </c>
      <c r="E699">
        <v>-0.24</v>
      </c>
      <c r="F699">
        <v>9.7899999999999991</v>
      </c>
      <c r="G699">
        <v>9.8000000000000007</v>
      </c>
      <c r="H699">
        <v>320959</v>
      </c>
      <c r="I699">
        <v>104</v>
      </c>
      <c r="J699">
        <v>-0.1</v>
      </c>
      <c r="K699">
        <v>3.07</v>
      </c>
      <c r="L699">
        <v>9.49</v>
      </c>
      <c r="M699">
        <v>10.26</v>
      </c>
      <c r="N699">
        <v>9.2200000000000006</v>
      </c>
      <c r="O699">
        <v>10.029999999999999</v>
      </c>
      <c r="P699">
        <v>153.11000000000001</v>
      </c>
      <c r="Q699">
        <v>313885184</v>
      </c>
      <c r="R699">
        <v>0.73</v>
      </c>
      <c r="S699" t="s">
        <v>466</v>
      </c>
      <c r="T699" t="s">
        <v>30</v>
      </c>
      <c r="U699">
        <v>10.37</v>
      </c>
      <c r="V699">
        <v>9.7799999999999994</v>
      </c>
      <c r="W699">
        <v>169040</v>
      </c>
      <c r="X699">
        <v>151919</v>
      </c>
      <c r="Y699">
        <v>1.1100000000000001</v>
      </c>
      <c r="Z699">
        <v>26</v>
      </c>
      <c r="AA699">
        <v>318</v>
      </c>
      <c r="AB699" t="s">
        <v>31</v>
      </c>
    </row>
    <row r="700" spans="1:28">
      <c r="A700" t="str">
        <f>"600826"</f>
        <v>600826</v>
      </c>
      <c r="B700" t="s">
        <v>863</v>
      </c>
      <c r="C700">
        <v>1.07</v>
      </c>
      <c r="D700">
        <v>14.18</v>
      </c>
      <c r="E700">
        <v>0.15</v>
      </c>
      <c r="F700">
        <v>14.19</v>
      </c>
      <c r="G700">
        <v>14.2</v>
      </c>
      <c r="H700">
        <v>15410</v>
      </c>
      <c r="I700">
        <v>9</v>
      </c>
      <c r="J700">
        <v>-7.0000000000000007E-2</v>
      </c>
      <c r="K700">
        <v>0.37</v>
      </c>
      <c r="L700">
        <v>14</v>
      </c>
      <c r="M700">
        <v>14.28</v>
      </c>
      <c r="N700">
        <v>13.93</v>
      </c>
      <c r="O700">
        <v>14.03</v>
      </c>
      <c r="P700">
        <v>101.82</v>
      </c>
      <c r="Q700">
        <v>21792638</v>
      </c>
      <c r="R700">
        <v>0.54</v>
      </c>
      <c r="S700" t="s">
        <v>109</v>
      </c>
      <c r="T700" t="s">
        <v>30</v>
      </c>
      <c r="U700">
        <v>2.4900000000000002</v>
      </c>
      <c r="V700">
        <v>14.14</v>
      </c>
      <c r="W700">
        <v>6503</v>
      </c>
      <c r="X700">
        <v>8907</v>
      </c>
      <c r="Y700">
        <v>0.73</v>
      </c>
      <c r="Z700">
        <v>158</v>
      </c>
      <c r="AA700">
        <v>115</v>
      </c>
      <c r="AB700" t="s">
        <v>31</v>
      </c>
    </row>
    <row r="701" spans="1:28">
      <c r="A701" t="str">
        <f>"600827"</f>
        <v>600827</v>
      </c>
      <c r="B701" t="s">
        <v>864</v>
      </c>
      <c r="C701">
        <v>1.88</v>
      </c>
      <c r="D701">
        <v>9.76</v>
      </c>
      <c r="E701">
        <v>0.18</v>
      </c>
      <c r="F701">
        <v>9.73</v>
      </c>
      <c r="G701">
        <v>9.76</v>
      </c>
      <c r="H701">
        <v>92559</v>
      </c>
      <c r="I701">
        <v>4</v>
      </c>
      <c r="J701">
        <v>-0.3</v>
      </c>
      <c r="K701">
        <v>0.75</v>
      </c>
      <c r="L701">
        <v>9.52</v>
      </c>
      <c r="M701">
        <v>9.85</v>
      </c>
      <c r="N701">
        <v>9.4499999999999993</v>
      </c>
      <c r="O701">
        <v>9.58</v>
      </c>
      <c r="P701">
        <v>11.37</v>
      </c>
      <c r="Q701">
        <v>89207936</v>
      </c>
      <c r="R701">
        <v>0.46</v>
      </c>
      <c r="S701" t="s">
        <v>453</v>
      </c>
      <c r="T701" t="s">
        <v>30</v>
      </c>
      <c r="U701">
        <v>4.18</v>
      </c>
      <c r="V701">
        <v>9.64</v>
      </c>
      <c r="W701">
        <v>49950</v>
      </c>
      <c r="X701">
        <v>42609</v>
      </c>
      <c r="Y701">
        <v>1.17</v>
      </c>
      <c r="Z701">
        <v>150</v>
      </c>
      <c r="AA701">
        <v>5</v>
      </c>
      <c r="AB701" t="s">
        <v>31</v>
      </c>
    </row>
    <row r="702" spans="1:28">
      <c r="A702" t="str">
        <f>"600828"</f>
        <v>600828</v>
      </c>
      <c r="B702" t="s">
        <v>865</v>
      </c>
      <c r="C702">
        <v>1.22</v>
      </c>
      <c r="D702">
        <v>4.9800000000000004</v>
      </c>
      <c r="E702">
        <v>0.06</v>
      </c>
      <c r="F702">
        <v>4.9800000000000004</v>
      </c>
      <c r="G702">
        <v>4.99</v>
      </c>
      <c r="H702">
        <v>30652</v>
      </c>
      <c r="I702">
        <v>2</v>
      </c>
      <c r="J702">
        <v>0</v>
      </c>
      <c r="K702">
        <v>0.54</v>
      </c>
      <c r="L702">
        <v>4.8899999999999997</v>
      </c>
      <c r="M702">
        <v>5</v>
      </c>
      <c r="N702">
        <v>4.8499999999999996</v>
      </c>
      <c r="O702">
        <v>4.92</v>
      </c>
      <c r="P702">
        <v>11.1</v>
      </c>
      <c r="Q702">
        <v>15142266</v>
      </c>
      <c r="R702">
        <v>0.67</v>
      </c>
      <c r="S702" t="s">
        <v>374</v>
      </c>
      <c r="T702" t="s">
        <v>88</v>
      </c>
      <c r="U702">
        <v>3.05</v>
      </c>
      <c r="V702">
        <v>4.9400000000000004</v>
      </c>
      <c r="W702">
        <v>16833</v>
      </c>
      <c r="X702">
        <v>13819</v>
      </c>
      <c r="Y702">
        <v>1.22</v>
      </c>
      <c r="Z702">
        <v>29</v>
      </c>
      <c r="AA702">
        <v>573</v>
      </c>
      <c r="AB702" t="s">
        <v>31</v>
      </c>
    </row>
    <row r="703" spans="1:28">
      <c r="A703" t="str">
        <f>"600829"</f>
        <v>600829</v>
      </c>
      <c r="B703" t="s">
        <v>866</v>
      </c>
      <c r="C703">
        <v>0.44</v>
      </c>
      <c r="D703">
        <v>6.88</v>
      </c>
      <c r="E703">
        <v>0.03</v>
      </c>
      <c r="F703">
        <v>6.87</v>
      </c>
      <c r="G703">
        <v>6.89</v>
      </c>
      <c r="H703">
        <v>23321</v>
      </c>
      <c r="I703">
        <v>9</v>
      </c>
      <c r="J703">
        <v>0.14000000000000001</v>
      </c>
      <c r="K703">
        <v>0.4</v>
      </c>
      <c r="L703">
        <v>6.81</v>
      </c>
      <c r="M703">
        <v>6.93</v>
      </c>
      <c r="N703">
        <v>6.69</v>
      </c>
      <c r="O703">
        <v>6.85</v>
      </c>
      <c r="P703" t="s">
        <v>31</v>
      </c>
      <c r="Q703">
        <v>15903649</v>
      </c>
      <c r="R703">
        <v>0.7</v>
      </c>
      <c r="S703" t="s">
        <v>117</v>
      </c>
      <c r="T703" t="s">
        <v>85</v>
      </c>
      <c r="U703">
        <v>3.5</v>
      </c>
      <c r="V703">
        <v>6.82</v>
      </c>
      <c r="W703">
        <v>11585</v>
      </c>
      <c r="X703">
        <v>11736</v>
      </c>
      <c r="Y703">
        <v>0.99</v>
      </c>
      <c r="Z703">
        <v>8</v>
      </c>
      <c r="AA703">
        <v>252</v>
      </c>
      <c r="AB703" t="s">
        <v>31</v>
      </c>
    </row>
    <row r="704" spans="1:28">
      <c r="A704" t="str">
        <f>"600830"</f>
        <v>600830</v>
      </c>
      <c r="B704" t="s">
        <v>867</v>
      </c>
      <c r="C704">
        <v>1.56</v>
      </c>
      <c r="D704">
        <v>9.75</v>
      </c>
      <c r="E704">
        <v>0.15</v>
      </c>
      <c r="F704">
        <v>9.74</v>
      </c>
      <c r="G704">
        <v>9.75</v>
      </c>
      <c r="H704">
        <v>110143</v>
      </c>
      <c r="I704">
        <v>12</v>
      </c>
      <c r="J704">
        <v>0.41</v>
      </c>
      <c r="K704">
        <v>2.42</v>
      </c>
      <c r="L704">
        <v>9.59</v>
      </c>
      <c r="M704">
        <v>9.8000000000000007</v>
      </c>
      <c r="N704">
        <v>9.5</v>
      </c>
      <c r="O704">
        <v>9.6</v>
      </c>
      <c r="P704">
        <v>44.1</v>
      </c>
      <c r="Q704">
        <v>106350520</v>
      </c>
      <c r="R704">
        <v>0.65</v>
      </c>
      <c r="S704" t="s">
        <v>692</v>
      </c>
      <c r="T704" t="s">
        <v>95</v>
      </c>
      <c r="U704">
        <v>3.13</v>
      </c>
      <c r="V704">
        <v>9.66</v>
      </c>
      <c r="W704">
        <v>55387</v>
      </c>
      <c r="X704">
        <v>54756</v>
      </c>
      <c r="Y704">
        <v>1.01</v>
      </c>
      <c r="Z704">
        <v>695</v>
      </c>
      <c r="AA704">
        <v>59</v>
      </c>
      <c r="AB704" t="s">
        <v>31</v>
      </c>
    </row>
    <row r="705" spans="1:28">
      <c r="A705" t="str">
        <f>"600831"</f>
        <v>600831</v>
      </c>
      <c r="B705" t="s">
        <v>868</v>
      </c>
      <c r="C705">
        <v>1.39</v>
      </c>
      <c r="D705">
        <v>8.0399999999999991</v>
      </c>
      <c r="E705">
        <v>0.11</v>
      </c>
      <c r="F705">
        <v>8.0399999999999991</v>
      </c>
      <c r="G705">
        <v>8.0500000000000007</v>
      </c>
      <c r="H705">
        <v>78052</v>
      </c>
      <c r="I705">
        <v>11</v>
      </c>
      <c r="J705">
        <v>0.24</v>
      </c>
      <c r="K705">
        <v>1.39</v>
      </c>
      <c r="L705">
        <v>7.88</v>
      </c>
      <c r="M705">
        <v>8.0399999999999991</v>
      </c>
      <c r="N705">
        <v>7.83</v>
      </c>
      <c r="O705">
        <v>7.93</v>
      </c>
      <c r="P705">
        <v>27.08</v>
      </c>
      <c r="Q705">
        <v>62302976</v>
      </c>
      <c r="R705">
        <v>0.67</v>
      </c>
      <c r="S705" t="s">
        <v>82</v>
      </c>
      <c r="T705" t="s">
        <v>147</v>
      </c>
      <c r="U705">
        <v>2.65</v>
      </c>
      <c r="V705">
        <v>7.98</v>
      </c>
      <c r="W705">
        <v>42027</v>
      </c>
      <c r="X705">
        <v>36025</v>
      </c>
      <c r="Y705">
        <v>1.17</v>
      </c>
      <c r="Z705">
        <v>141</v>
      </c>
      <c r="AA705">
        <v>687</v>
      </c>
      <c r="AB705" t="s">
        <v>31</v>
      </c>
    </row>
    <row r="706" spans="1:28">
      <c r="A706" t="str">
        <f>"600832"</f>
        <v>600832</v>
      </c>
      <c r="B706" t="s">
        <v>869</v>
      </c>
      <c r="C706">
        <v>1.08</v>
      </c>
      <c r="D706">
        <v>9.35</v>
      </c>
      <c r="E706">
        <v>0.1</v>
      </c>
      <c r="F706">
        <v>9.35</v>
      </c>
      <c r="G706">
        <v>9.36</v>
      </c>
      <c r="H706">
        <v>533354</v>
      </c>
      <c r="I706">
        <v>28</v>
      </c>
      <c r="J706">
        <v>-0.1</v>
      </c>
      <c r="K706">
        <v>1.67</v>
      </c>
      <c r="L706">
        <v>9.27</v>
      </c>
      <c r="M706">
        <v>9.4499999999999993</v>
      </c>
      <c r="N706">
        <v>9.08</v>
      </c>
      <c r="O706">
        <v>9.25</v>
      </c>
      <c r="P706">
        <v>58.71</v>
      </c>
      <c r="Q706">
        <v>495109024</v>
      </c>
      <c r="R706">
        <v>0.67</v>
      </c>
      <c r="S706" t="s">
        <v>94</v>
      </c>
      <c r="T706" t="s">
        <v>30</v>
      </c>
      <c r="U706">
        <v>4</v>
      </c>
      <c r="V706">
        <v>9.2799999999999994</v>
      </c>
      <c r="W706">
        <v>263006</v>
      </c>
      <c r="X706">
        <v>270348</v>
      </c>
      <c r="Y706">
        <v>0.97</v>
      </c>
      <c r="Z706">
        <v>116</v>
      </c>
      <c r="AA706">
        <v>294</v>
      </c>
      <c r="AB706" t="s">
        <v>31</v>
      </c>
    </row>
    <row r="707" spans="1:28">
      <c r="A707" t="str">
        <f>"600833"</f>
        <v>600833</v>
      </c>
      <c r="B707" t="s">
        <v>870</v>
      </c>
      <c r="C707">
        <v>1.73</v>
      </c>
      <c r="D707">
        <v>8.2200000000000006</v>
      </c>
      <c r="E707">
        <v>0.14000000000000001</v>
      </c>
      <c r="F707">
        <v>8.2100000000000009</v>
      </c>
      <c r="G707">
        <v>8.2200000000000006</v>
      </c>
      <c r="H707">
        <v>26013</v>
      </c>
      <c r="I707">
        <v>31</v>
      </c>
      <c r="J707">
        <v>0.36</v>
      </c>
      <c r="K707">
        <v>1.17</v>
      </c>
      <c r="L707">
        <v>8.14</v>
      </c>
      <c r="M707">
        <v>8.27</v>
      </c>
      <c r="N707">
        <v>8.09</v>
      </c>
      <c r="O707">
        <v>8.08</v>
      </c>
      <c r="P707">
        <v>48.45</v>
      </c>
      <c r="Q707">
        <v>21314484</v>
      </c>
      <c r="R707">
        <v>0.48</v>
      </c>
      <c r="S707" t="s">
        <v>105</v>
      </c>
      <c r="T707" t="s">
        <v>30</v>
      </c>
      <c r="U707">
        <v>2.23</v>
      </c>
      <c r="V707">
        <v>8.19</v>
      </c>
      <c r="W707">
        <v>12625</v>
      </c>
      <c r="X707">
        <v>13388</v>
      </c>
      <c r="Y707">
        <v>0.94</v>
      </c>
      <c r="Z707">
        <v>86</v>
      </c>
      <c r="AA707">
        <v>31</v>
      </c>
      <c r="AB707" t="s">
        <v>31</v>
      </c>
    </row>
    <row r="708" spans="1:28">
      <c r="A708" t="str">
        <f>"600834"</f>
        <v>600834</v>
      </c>
      <c r="B708" t="s">
        <v>871</v>
      </c>
      <c r="C708">
        <v>1.19</v>
      </c>
      <c r="D708">
        <v>6.78</v>
      </c>
      <c r="E708">
        <v>0.08</v>
      </c>
      <c r="F708">
        <v>6.78</v>
      </c>
      <c r="G708">
        <v>6.79</v>
      </c>
      <c r="H708">
        <v>18492</v>
      </c>
      <c r="I708">
        <v>15</v>
      </c>
      <c r="J708">
        <v>0.28999999999999998</v>
      </c>
      <c r="K708">
        <v>0.39</v>
      </c>
      <c r="L708">
        <v>6.73</v>
      </c>
      <c r="M708">
        <v>6.79</v>
      </c>
      <c r="N708">
        <v>6.56</v>
      </c>
      <c r="O708">
        <v>6.7</v>
      </c>
      <c r="P708">
        <v>26.59</v>
      </c>
      <c r="Q708">
        <v>12412112</v>
      </c>
      <c r="R708">
        <v>0.69</v>
      </c>
      <c r="S708" t="s">
        <v>477</v>
      </c>
      <c r="T708" t="s">
        <v>30</v>
      </c>
      <c r="U708">
        <v>3.43</v>
      </c>
      <c r="V708">
        <v>6.71</v>
      </c>
      <c r="W708">
        <v>8449</v>
      </c>
      <c r="X708">
        <v>10043</v>
      </c>
      <c r="Y708">
        <v>0.84</v>
      </c>
      <c r="Z708">
        <v>37</v>
      </c>
      <c r="AA708">
        <v>297</v>
      </c>
      <c r="AB708" t="s">
        <v>31</v>
      </c>
    </row>
    <row r="709" spans="1:28">
      <c r="A709" t="str">
        <f>"600835"</f>
        <v>600835</v>
      </c>
      <c r="B709" t="s">
        <v>872</v>
      </c>
      <c r="C709">
        <v>2.27</v>
      </c>
      <c r="D709">
        <v>15.74</v>
      </c>
      <c r="E709">
        <v>0.35</v>
      </c>
      <c r="F709">
        <v>15.68</v>
      </c>
      <c r="G709">
        <v>15.7</v>
      </c>
      <c r="H709">
        <v>96926</v>
      </c>
      <c r="I709">
        <v>1</v>
      </c>
      <c r="J709">
        <v>1.61</v>
      </c>
      <c r="K709">
        <v>1.2</v>
      </c>
      <c r="L709">
        <v>15.75</v>
      </c>
      <c r="M709">
        <v>16.260000000000002</v>
      </c>
      <c r="N709">
        <v>15.24</v>
      </c>
      <c r="O709">
        <v>15.39</v>
      </c>
      <c r="P709">
        <v>28.32</v>
      </c>
      <c r="Q709">
        <v>153272432</v>
      </c>
      <c r="R709">
        <v>1.4</v>
      </c>
      <c r="S709" t="s">
        <v>556</v>
      </c>
      <c r="T709" t="s">
        <v>30</v>
      </c>
      <c r="U709">
        <v>6.63</v>
      </c>
      <c r="V709">
        <v>15.81</v>
      </c>
      <c r="W709">
        <v>51793</v>
      </c>
      <c r="X709">
        <v>45133</v>
      </c>
      <c r="Y709">
        <v>1.1499999999999999</v>
      </c>
      <c r="Z709">
        <v>45</v>
      </c>
      <c r="AA709">
        <v>20</v>
      </c>
      <c r="AB709" t="s">
        <v>31</v>
      </c>
    </row>
    <row r="710" spans="1:28">
      <c r="A710" t="str">
        <f>"600836"</f>
        <v>600836</v>
      </c>
      <c r="B710" t="s">
        <v>873</v>
      </c>
      <c r="C710">
        <v>0.59</v>
      </c>
      <c r="D710">
        <v>8.52</v>
      </c>
      <c r="E710">
        <v>0.05</v>
      </c>
      <c r="F710">
        <v>8.51</v>
      </c>
      <c r="G710">
        <v>8.52</v>
      </c>
      <c r="H710">
        <v>29172</v>
      </c>
      <c r="I710">
        <v>12</v>
      </c>
      <c r="J710">
        <v>0</v>
      </c>
      <c r="K710">
        <v>0.93</v>
      </c>
      <c r="L710">
        <v>8.5</v>
      </c>
      <c r="M710">
        <v>8.5299999999999994</v>
      </c>
      <c r="N710">
        <v>8.35</v>
      </c>
      <c r="O710">
        <v>8.4700000000000006</v>
      </c>
      <c r="P710">
        <v>815.25</v>
      </c>
      <c r="Q710">
        <v>24722500</v>
      </c>
      <c r="R710">
        <v>0.55000000000000004</v>
      </c>
      <c r="S710" t="s">
        <v>304</v>
      </c>
      <c r="T710" t="s">
        <v>30</v>
      </c>
      <c r="U710">
        <v>2.13</v>
      </c>
      <c r="V710">
        <v>8.4700000000000006</v>
      </c>
      <c r="W710">
        <v>15062</v>
      </c>
      <c r="X710">
        <v>14110</v>
      </c>
      <c r="Y710">
        <v>1.07</v>
      </c>
      <c r="Z710">
        <v>253</v>
      </c>
      <c r="AA710">
        <v>60</v>
      </c>
      <c r="AB710" t="s">
        <v>31</v>
      </c>
    </row>
    <row r="711" spans="1:28">
      <c r="A711" t="str">
        <f>"600837"</f>
        <v>600837</v>
      </c>
      <c r="B711" t="s">
        <v>874</v>
      </c>
      <c r="C711">
        <v>0.6</v>
      </c>
      <c r="D711">
        <v>11.82</v>
      </c>
      <c r="E711">
        <v>7.0000000000000007E-2</v>
      </c>
      <c r="F711">
        <v>11.79</v>
      </c>
      <c r="G711">
        <v>11.82</v>
      </c>
      <c r="H711">
        <v>1098230</v>
      </c>
      <c r="I711">
        <v>376</v>
      </c>
      <c r="J711">
        <v>0.25</v>
      </c>
      <c r="K711">
        <v>1.36</v>
      </c>
      <c r="L711">
        <v>11.75</v>
      </c>
      <c r="M711">
        <v>11.88</v>
      </c>
      <c r="N711">
        <v>11.61</v>
      </c>
      <c r="O711">
        <v>11.75</v>
      </c>
      <c r="P711">
        <v>21.25</v>
      </c>
      <c r="Q711">
        <v>1290695680</v>
      </c>
      <c r="R711">
        <v>0.98</v>
      </c>
      <c r="S711" t="s">
        <v>72</v>
      </c>
      <c r="T711" t="s">
        <v>30</v>
      </c>
      <c r="U711">
        <v>2.2999999999999998</v>
      </c>
      <c r="V711">
        <v>11.75</v>
      </c>
      <c r="W711">
        <v>546248</v>
      </c>
      <c r="X711">
        <v>551982</v>
      </c>
      <c r="Y711">
        <v>0.99</v>
      </c>
      <c r="Z711">
        <v>1762</v>
      </c>
      <c r="AA711">
        <v>418</v>
      </c>
      <c r="AB711" t="s">
        <v>31</v>
      </c>
    </row>
    <row r="712" spans="1:28">
      <c r="A712" t="str">
        <f>"600838"</f>
        <v>600838</v>
      </c>
      <c r="B712" t="s">
        <v>875</v>
      </c>
      <c r="C712">
        <v>0.78</v>
      </c>
      <c r="D712">
        <v>6.44</v>
      </c>
      <c r="E712">
        <v>0.05</v>
      </c>
      <c r="F712">
        <v>6.43</v>
      </c>
      <c r="G712">
        <v>6.44</v>
      </c>
      <c r="H712">
        <v>129147</v>
      </c>
      <c r="I712">
        <v>59</v>
      </c>
      <c r="J712">
        <v>-0.15</v>
      </c>
      <c r="K712">
        <v>3.22</v>
      </c>
      <c r="L712">
        <v>6.31</v>
      </c>
      <c r="M712">
        <v>6.46</v>
      </c>
      <c r="N712">
        <v>6.21</v>
      </c>
      <c r="O712">
        <v>6.39</v>
      </c>
      <c r="P712">
        <v>76.290000000000006</v>
      </c>
      <c r="Q712">
        <v>82137168</v>
      </c>
      <c r="R712">
        <v>0.79</v>
      </c>
      <c r="S712" t="s">
        <v>374</v>
      </c>
      <c r="T712" t="s">
        <v>30</v>
      </c>
      <c r="U712">
        <v>3.91</v>
      </c>
      <c r="V712">
        <v>6.36</v>
      </c>
      <c r="W712">
        <v>61348</v>
      </c>
      <c r="X712">
        <v>67799</v>
      </c>
      <c r="Y712">
        <v>0.9</v>
      </c>
      <c r="Z712">
        <v>209</v>
      </c>
      <c r="AA712">
        <v>421</v>
      </c>
      <c r="AB712" t="s">
        <v>31</v>
      </c>
    </row>
    <row r="713" spans="1:28">
      <c r="A713" t="str">
        <f>"600839"</f>
        <v>600839</v>
      </c>
      <c r="B713" t="s">
        <v>876</v>
      </c>
      <c r="C713">
        <v>-1</v>
      </c>
      <c r="D713">
        <v>2.97</v>
      </c>
      <c r="E713">
        <v>-0.03</v>
      </c>
      <c r="F713">
        <v>2.96</v>
      </c>
      <c r="G713">
        <v>2.97</v>
      </c>
      <c r="H713">
        <v>2286216</v>
      </c>
      <c r="I713">
        <v>285</v>
      </c>
      <c r="J713">
        <v>0.67</v>
      </c>
      <c r="K713">
        <v>4.96</v>
      </c>
      <c r="L713">
        <v>2.95</v>
      </c>
      <c r="M713">
        <v>3.04</v>
      </c>
      <c r="N713">
        <v>2.81</v>
      </c>
      <c r="O713">
        <v>3</v>
      </c>
      <c r="P713">
        <v>33.130000000000003</v>
      </c>
      <c r="Q713">
        <v>669296384</v>
      </c>
      <c r="R713">
        <v>0.72</v>
      </c>
      <c r="S713" t="s">
        <v>113</v>
      </c>
      <c r="T713" t="s">
        <v>88</v>
      </c>
      <c r="U713">
        <v>7.67</v>
      </c>
      <c r="V713">
        <v>2.93</v>
      </c>
      <c r="W713">
        <v>1284316</v>
      </c>
      <c r="X713">
        <v>1001900</v>
      </c>
      <c r="Y713">
        <v>1.28</v>
      </c>
      <c r="Z713">
        <v>1855</v>
      </c>
      <c r="AA713">
        <v>1311</v>
      </c>
      <c r="AB713" t="s">
        <v>31</v>
      </c>
    </row>
    <row r="714" spans="1:28">
      <c r="A714" t="str">
        <f>"600841"</f>
        <v>600841</v>
      </c>
      <c r="B714" t="s">
        <v>877</v>
      </c>
      <c r="C714">
        <v>3.47</v>
      </c>
      <c r="D714">
        <v>12.22</v>
      </c>
      <c r="E714">
        <v>0.41</v>
      </c>
      <c r="F714">
        <v>12.21</v>
      </c>
      <c r="G714">
        <v>12.22</v>
      </c>
      <c r="H714">
        <v>15902</v>
      </c>
      <c r="I714">
        <v>1</v>
      </c>
      <c r="J714">
        <v>-0.32</v>
      </c>
      <c r="K714">
        <v>0.32</v>
      </c>
      <c r="L714">
        <v>11.69</v>
      </c>
      <c r="M714">
        <v>12.35</v>
      </c>
      <c r="N714">
        <v>11.5</v>
      </c>
      <c r="O714">
        <v>11.81</v>
      </c>
      <c r="P714">
        <v>55.95</v>
      </c>
      <c r="Q714">
        <v>18769348</v>
      </c>
      <c r="R714">
        <v>1.1399999999999999</v>
      </c>
      <c r="S714" t="s">
        <v>198</v>
      </c>
      <c r="T714" t="s">
        <v>30</v>
      </c>
      <c r="U714">
        <v>7.2</v>
      </c>
      <c r="V714">
        <v>11.8</v>
      </c>
      <c r="W714">
        <v>7048</v>
      </c>
      <c r="X714">
        <v>8854</v>
      </c>
      <c r="Y714">
        <v>0.8</v>
      </c>
      <c r="Z714">
        <v>64</v>
      </c>
      <c r="AA714">
        <v>49</v>
      </c>
      <c r="AB714" t="s">
        <v>31</v>
      </c>
    </row>
    <row r="715" spans="1:28">
      <c r="A715" t="str">
        <f>"600843"</f>
        <v>600843</v>
      </c>
      <c r="B715" t="s">
        <v>878</v>
      </c>
      <c r="C715">
        <v>0.69</v>
      </c>
      <c r="D715">
        <v>7.29</v>
      </c>
      <c r="E715">
        <v>0.05</v>
      </c>
      <c r="F715">
        <v>7.28</v>
      </c>
      <c r="G715">
        <v>7.3</v>
      </c>
      <c r="H715">
        <v>9795</v>
      </c>
      <c r="I715">
        <v>30</v>
      </c>
      <c r="J715">
        <v>0</v>
      </c>
      <c r="K715">
        <v>0.48</v>
      </c>
      <c r="L715">
        <v>7.19</v>
      </c>
      <c r="M715">
        <v>7.3</v>
      </c>
      <c r="N715">
        <v>7.12</v>
      </c>
      <c r="O715">
        <v>7.24</v>
      </c>
      <c r="P715">
        <v>53.34</v>
      </c>
      <c r="Q715">
        <v>7064252</v>
      </c>
      <c r="R715">
        <v>0.5</v>
      </c>
      <c r="S715" t="s">
        <v>396</v>
      </c>
      <c r="T715" t="s">
        <v>30</v>
      </c>
      <c r="U715">
        <v>2.4900000000000002</v>
      </c>
      <c r="V715">
        <v>7.21</v>
      </c>
      <c r="W715">
        <v>5068</v>
      </c>
      <c r="X715">
        <v>4727</v>
      </c>
      <c r="Y715">
        <v>1.07</v>
      </c>
      <c r="Z715">
        <v>27</v>
      </c>
      <c r="AA715">
        <v>102</v>
      </c>
      <c r="AB715" t="s">
        <v>31</v>
      </c>
    </row>
    <row r="716" spans="1:28">
      <c r="A716" t="str">
        <f>"600844"</f>
        <v>600844</v>
      </c>
      <c r="B716" t="s">
        <v>879</v>
      </c>
      <c r="C716">
        <v>2.5</v>
      </c>
      <c r="D716">
        <v>7.38</v>
      </c>
      <c r="E716">
        <v>0.18</v>
      </c>
      <c r="F716">
        <v>7.39</v>
      </c>
      <c r="G716">
        <v>7.4</v>
      </c>
      <c r="H716">
        <v>34584</v>
      </c>
      <c r="I716">
        <v>64</v>
      </c>
      <c r="J716">
        <v>0</v>
      </c>
      <c r="K716">
        <v>0.59</v>
      </c>
      <c r="L716">
        <v>7.2</v>
      </c>
      <c r="M716">
        <v>7.4</v>
      </c>
      <c r="N716">
        <v>7.14</v>
      </c>
      <c r="O716">
        <v>7.2</v>
      </c>
      <c r="P716" t="s">
        <v>31</v>
      </c>
      <c r="Q716">
        <v>25244316</v>
      </c>
      <c r="R716">
        <v>0.77</v>
      </c>
      <c r="S716" t="s">
        <v>137</v>
      </c>
      <c r="T716" t="s">
        <v>30</v>
      </c>
      <c r="U716">
        <v>3.61</v>
      </c>
      <c r="V716">
        <v>7.3</v>
      </c>
      <c r="W716">
        <v>15012</v>
      </c>
      <c r="X716">
        <v>19572</v>
      </c>
      <c r="Y716">
        <v>0.77</v>
      </c>
      <c r="Z716">
        <v>16</v>
      </c>
      <c r="AA716">
        <v>393</v>
      </c>
      <c r="AB716" t="s">
        <v>31</v>
      </c>
    </row>
    <row r="717" spans="1:28">
      <c r="A717" t="str">
        <f>"600845"</f>
        <v>600845</v>
      </c>
      <c r="B717" t="s">
        <v>880</v>
      </c>
      <c r="C717">
        <v>-0.85</v>
      </c>
      <c r="D717">
        <v>26.96</v>
      </c>
      <c r="E717">
        <v>-0.23</v>
      </c>
      <c r="F717">
        <v>26.96</v>
      </c>
      <c r="G717">
        <v>26.97</v>
      </c>
      <c r="H717">
        <v>19092</v>
      </c>
      <c r="I717">
        <v>45</v>
      </c>
      <c r="J717">
        <v>0</v>
      </c>
      <c r="K717">
        <v>0.84</v>
      </c>
      <c r="L717">
        <v>26.67</v>
      </c>
      <c r="M717">
        <v>27.38</v>
      </c>
      <c r="N717">
        <v>26.67</v>
      </c>
      <c r="O717">
        <v>27.19</v>
      </c>
      <c r="P717">
        <v>35.74</v>
      </c>
      <c r="Q717">
        <v>51570320</v>
      </c>
      <c r="R717">
        <v>0.48</v>
      </c>
      <c r="S717" t="s">
        <v>383</v>
      </c>
      <c r="T717" t="s">
        <v>30</v>
      </c>
      <c r="U717">
        <v>2.61</v>
      </c>
      <c r="V717">
        <v>27.01</v>
      </c>
      <c r="W717">
        <v>10379</v>
      </c>
      <c r="X717">
        <v>8713</v>
      </c>
      <c r="Y717">
        <v>1.19</v>
      </c>
      <c r="Z717">
        <v>55</v>
      </c>
      <c r="AA717">
        <v>7</v>
      </c>
      <c r="AB717" t="s">
        <v>31</v>
      </c>
    </row>
    <row r="718" spans="1:28">
      <c r="A718" t="str">
        <f>"600846"</f>
        <v>600846</v>
      </c>
      <c r="B718" t="s">
        <v>881</v>
      </c>
      <c r="C718">
        <v>4.01</v>
      </c>
      <c r="D718">
        <v>6.22</v>
      </c>
      <c r="E718">
        <v>0.24</v>
      </c>
      <c r="F718">
        <v>6.22</v>
      </c>
      <c r="G718">
        <v>6.23</v>
      </c>
      <c r="H718">
        <v>163344</v>
      </c>
      <c r="I718">
        <v>90</v>
      </c>
      <c r="J718">
        <v>-0.16</v>
      </c>
      <c r="K718">
        <v>2.61</v>
      </c>
      <c r="L718">
        <v>5.95</v>
      </c>
      <c r="M718">
        <v>6.34</v>
      </c>
      <c r="N718">
        <v>5.95</v>
      </c>
      <c r="O718">
        <v>5.98</v>
      </c>
      <c r="P718">
        <v>41.18</v>
      </c>
      <c r="Q718">
        <v>99442008</v>
      </c>
      <c r="R718">
        <v>0.89</v>
      </c>
      <c r="S718" t="s">
        <v>94</v>
      </c>
      <c r="T718" t="s">
        <v>30</v>
      </c>
      <c r="U718">
        <v>6.52</v>
      </c>
      <c r="V718">
        <v>6.09</v>
      </c>
      <c r="W718">
        <v>80735</v>
      </c>
      <c r="X718">
        <v>82609</v>
      </c>
      <c r="Y718">
        <v>0.98</v>
      </c>
      <c r="Z718">
        <v>1896</v>
      </c>
      <c r="AA718">
        <v>1442</v>
      </c>
      <c r="AB718" t="s">
        <v>31</v>
      </c>
    </row>
    <row r="719" spans="1:28">
      <c r="A719" t="str">
        <f>"600847"</f>
        <v>600847</v>
      </c>
      <c r="B719" t="s">
        <v>882</v>
      </c>
      <c r="C719">
        <v>2.64</v>
      </c>
      <c r="D719">
        <v>14.8</v>
      </c>
      <c r="E719">
        <v>0.38</v>
      </c>
      <c r="F719">
        <v>14.81</v>
      </c>
      <c r="G719">
        <v>14.82</v>
      </c>
      <c r="H719">
        <v>3240</v>
      </c>
      <c r="I719">
        <v>56</v>
      </c>
      <c r="J719">
        <v>0.68</v>
      </c>
      <c r="K719">
        <v>0.37</v>
      </c>
      <c r="L719">
        <v>14.55</v>
      </c>
      <c r="M719">
        <v>14.81</v>
      </c>
      <c r="N719">
        <v>14.2</v>
      </c>
      <c r="O719">
        <v>14.42</v>
      </c>
      <c r="P719" t="s">
        <v>31</v>
      </c>
      <c r="Q719">
        <v>4702318</v>
      </c>
      <c r="R719">
        <v>1.04</v>
      </c>
      <c r="S719" t="s">
        <v>161</v>
      </c>
      <c r="T719" t="s">
        <v>184</v>
      </c>
      <c r="U719">
        <v>4.2300000000000004</v>
      </c>
      <c r="V719">
        <v>14.51</v>
      </c>
      <c r="W719">
        <v>1613</v>
      </c>
      <c r="X719">
        <v>1627</v>
      </c>
      <c r="Y719">
        <v>0.99</v>
      </c>
      <c r="Z719">
        <v>3</v>
      </c>
      <c r="AA719">
        <v>68</v>
      </c>
      <c r="AB719" t="s">
        <v>31</v>
      </c>
    </row>
    <row r="720" spans="1:28">
      <c r="A720" t="str">
        <f>"600848"</f>
        <v>600848</v>
      </c>
      <c r="B720" t="s">
        <v>883</v>
      </c>
      <c r="C720">
        <v>1.17</v>
      </c>
      <c r="D720">
        <v>6.07</v>
      </c>
      <c r="E720">
        <v>7.0000000000000007E-2</v>
      </c>
      <c r="F720">
        <v>6.07</v>
      </c>
      <c r="G720">
        <v>6.08</v>
      </c>
      <c r="H720">
        <v>10351</v>
      </c>
      <c r="I720">
        <v>10</v>
      </c>
      <c r="J720">
        <v>0.16</v>
      </c>
      <c r="K720">
        <v>0.35</v>
      </c>
      <c r="L720">
        <v>6</v>
      </c>
      <c r="M720">
        <v>6.08</v>
      </c>
      <c r="N720">
        <v>5.93</v>
      </c>
      <c r="O720">
        <v>6</v>
      </c>
      <c r="P720">
        <v>236.18</v>
      </c>
      <c r="Q720">
        <v>6232837</v>
      </c>
      <c r="R720">
        <v>0.63</v>
      </c>
      <c r="S720" t="s">
        <v>458</v>
      </c>
      <c r="T720" t="s">
        <v>30</v>
      </c>
      <c r="U720">
        <v>2.5</v>
      </c>
      <c r="V720">
        <v>6.02</v>
      </c>
      <c r="W720">
        <v>6005</v>
      </c>
      <c r="X720">
        <v>4346</v>
      </c>
      <c r="Y720">
        <v>1.38</v>
      </c>
      <c r="Z720">
        <v>29</v>
      </c>
      <c r="AA720">
        <v>101</v>
      </c>
      <c r="AB720" t="s">
        <v>31</v>
      </c>
    </row>
    <row r="721" spans="1:28">
      <c r="A721" t="str">
        <f>"600850"</f>
        <v>600850</v>
      </c>
      <c r="B721" t="s">
        <v>884</v>
      </c>
      <c r="C721">
        <v>0.34</v>
      </c>
      <c r="D721">
        <v>20.88</v>
      </c>
      <c r="E721">
        <v>7.0000000000000007E-2</v>
      </c>
      <c r="F721">
        <v>20.81</v>
      </c>
      <c r="G721">
        <v>20.9</v>
      </c>
      <c r="H721">
        <v>43519</v>
      </c>
      <c r="I721">
        <v>18</v>
      </c>
      <c r="J721">
        <v>0.33</v>
      </c>
      <c r="K721">
        <v>2.54</v>
      </c>
      <c r="L721">
        <v>20.99</v>
      </c>
      <c r="M721">
        <v>20.99</v>
      </c>
      <c r="N721">
        <v>20.5</v>
      </c>
      <c r="O721">
        <v>20.81</v>
      </c>
      <c r="P721">
        <v>45.34</v>
      </c>
      <c r="Q721">
        <v>89907712</v>
      </c>
      <c r="R721">
        <v>1.85</v>
      </c>
      <c r="S721" t="s">
        <v>177</v>
      </c>
      <c r="T721" t="s">
        <v>30</v>
      </c>
      <c r="U721">
        <v>2.35</v>
      </c>
      <c r="V721">
        <v>20.66</v>
      </c>
      <c r="W721">
        <v>16664</v>
      </c>
      <c r="X721">
        <v>26855</v>
      </c>
      <c r="Y721">
        <v>0.62</v>
      </c>
      <c r="Z721">
        <v>28</v>
      </c>
      <c r="AA721">
        <v>82</v>
      </c>
      <c r="AB721" t="s">
        <v>31</v>
      </c>
    </row>
    <row r="722" spans="1:28">
      <c r="A722" t="str">
        <f>"600851"</f>
        <v>600851</v>
      </c>
      <c r="B722" t="s">
        <v>885</v>
      </c>
      <c r="C722">
        <v>0.68</v>
      </c>
      <c r="D722">
        <v>7.42</v>
      </c>
      <c r="E722">
        <v>0.05</v>
      </c>
      <c r="F722">
        <v>7.43</v>
      </c>
      <c r="G722">
        <v>7.44</v>
      </c>
      <c r="H722">
        <v>74473</v>
      </c>
      <c r="I722">
        <v>27</v>
      </c>
      <c r="J722">
        <v>0</v>
      </c>
      <c r="K722">
        <v>1.01</v>
      </c>
      <c r="L722">
        <v>7.38</v>
      </c>
      <c r="M722">
        <v>7.47</v>
      </c>
      <c r="N722">
        <v>7.27</v>
      </c>
      <c r="O722">
        <v>7.37</v>
      </c>
      <c r="P722">
        <v>117.5</v>
      </c>
      <c r="Q722">
        <v>54931412</v>
      </c>
      <c r="R722">
        <v>0.44</v>
      </c>
      <c r="S722" t="s">
        <v>127</v>
      </c>
      <c r="T722" t="s">
        <v>30</v>
      </c>
      <c r="U722">
        <v>2.71</v>
      </c>
      <c r="V722">
        <v>7.38</v>
      </c>
      <c r="W722">
        <v>40479</v>
      </c>
      <c r="X722">
        <v>33994</v>
      </c>
      <c r="Y722">
        <v>1.19</v>
      </c>
      <c r="Z722">
        <v>91</v>
      </c>
      <c r="AA722">
        <v>471</v>
      </c>
      <c r="AB722" t="s">
        <v>31</v>
      </c>
    </row>
    <row r="723" spans="1:28">
      <c r="A723" t="str">
        <f>"600853"</f>
        <v>600853</v>
      </c>
      <c r="B723" t="s">
        <v>886</v>
      </c>
      <c r="C723">
        <v>1.49</v>
      </c>
      <c r="D723">
        <v>2.72</v>
      </c>
      <c r="E723">
        <v>0.04</v>
      </c>
      <c r="F723">
        <v>2.72</v>
      </c>
      <c r="G723">
        <v>2.73</v>
      </c>
      <c r="H723">
        <v>24448</v>
      </c>
      <c r="I723">
        <v>100</v>
      </c>
      <c r="J723">
        <v>-0.36</v>
      </c>
      <c r="K723">
        <v>0.46</v>
      </c>
      <c r="L723">
        <v>2.69</v>
      </c>
      <c r="M723">
        <v>2.74</v>
      </c>
      <c r="N723">
        <v>2.67</v>
      </c>
      <c r="O723">
        <v>2.68</v>
      </c>
      <c r="P723">
        <v>63.88</v>
      </c>
      <c r="Q723">
        <v>6589671</v>
      </c>
      <c r="R723">
        <v>0.82</v>
      </c>
      <c r="S723" t="s">
        <v>87</v>
      </c>
      <c r="T723" t="s">
        <v>85</v>
      </c>
      <c r="U723">
        <v>2.61</v>
      </c>
      <c r="V723">
        <v>2.7</v>
      </c>
      <c r="W723">
        <v>12854</v>
      </c>
      <c r="X723">
        <v>11594</v>
      </c>
      <c r="Y723">
        <v>1.1100000000000001</v>
      </c>
      <c r="Z723">
        <v>731</v>
      </c>
      <c r="AA723">
        <v>379</v>
      </c>
      <c r="AB723" t="s">
        <v>31</v>
      </c>
    </row>
    <row r="724" spans="1:28">
      <c r="A724" t="str">
        <f>"600854"</f>
        <v>600854</v>
      </c>
      <c r="B724" t="s">
        <v>887</v>
      </c>
      <c r="C724">
        <v>0.95</v>
      </c>
      <c r="D724">
        <v>4.2300000000000004</v>
      </c>
      <c r="E724">
        <v>0.04</v>
      </c>
      <c r="F724">
        <v>4.22</v>
      </c>
      <c r="G724">
        <v>4.2300000000000004</v>
      </c>
      <c r="H724">
        <v>46707</v>
      </c>
      <c r="I724">
        <v>12</v>
      </c>
      <c r="J724">
        <v>-0.23</v>
      </c>
      <c r="K724">
        <v>0.9</v>
      </c>
      <c r="L724">
        <v>4.18</v>
      </c>
      <c r="M724">
        <v>4.24</v>
      </c>
      <c r="N724">
        <v>4.1399999999999997</v>
      </c>
      <c r="O724">
        <v>4.1900000000000004</v>
      </c>
      <c r="P724">
        <v>48.62</v>
      </c>
      <c r="Q724">
        <v>19585582</v>
      </c>
      <c r="R724">
        <v>0.61</v>
      </c>
      <c r="S724" t="s">
        <v>113</v>
      </c>
      <c r="T724" t="s">
        <v>120</v>
      </c>
      <c r="U724">
        <v>2.39</v>
      </c>
      <c r="V724">
        <v>4.1900000000000004</v>
      </c>
      <c r="W724">
        <v>27790</v>
      </c>
      <c r="X724">
        <v>18917</v>
      </c>
      <c r="Y724">
        <v>1.47</v>
      </c>
      <c r="Z724">
        <v>96</v>
      </c>
      <c r="AA724">
        <v>482</v>
      </c>
      <c r="AB724" t="s">
        <v>31</v>
      </c>
    </row>
    <row r="725" spans="1:28">
      <c r="A725" t="str">
        <f>"600855"</f>
        <v>600855</v>
      </c>
      <c r="B725" t="s">
        <v>888</v>
      </c>
      <c r="C725">
        <v>0.84</v>
      </c>
      <c r="D725">
        <v>10.81</v>
      </c>
      <c r="E725">
        <v>0.09</v>
      </c>
      <c r="F725">
        <v>10.81</v>
      </c>
      <c r="G725">
        <v>10.82</v>
      </c>
      <c r="H725">
        <v>153678</v>
      </c>
      <c r="I725">
        <v>5</v>
      </c>
      <c r="J725">
        <v>0.18</v>
      </c>
      <c r="K725">
        <v>6.59</v>
      </c>
      <c r="L725">
        <v>10.96</v>
      </c>
      <c r="M725">
        <v>11.06</v>
      </c>
      <c r="N725">
        <v>10.68</v>
      </c>
      <c r="O725">
        <v>10.72</v>
      </c>
      <c r="P725">
        <v>117.61</v>
      </c>
      <c r="Q725">
        <v>166843936</v>
      </c>
      <c r="R725">
        <v>1.49</v>
      </c>
      <c r="S725" t="s">
        <v>481</v>
      </c>
      <c r="T725" t="s">
        <v>42</v>
      </c>
      <c r="U725">
        <v>3.54</v>
      </c>
      <c r="V725">
        <v>10.86</v>
      </c>
      <c r="W725">
        <v>74589</v>
      </c>
      <c r="X725">
        <v>79089</v>
      </c>
      <c r="Y725">
        <v>0.94</v>
      </c>
      <c r="Z725">
        <v>21</v>
      </c>
      <c r="AA725">
        <v>54</v>
      </c>
      <c r="AB725" t="s">
        <v>31</v>
      </c>
    </row>
    <row r="726" spans="1:28">
      <c r="A726" t="str">
        <f>"600856"</f>
        <v>600856</v>
      </c>
      <c r="B726" t="s">
        <v>889</v>
      </c>
      <c r="C726">
        <v>3.05</v>
      </c>
      <c r="D726">
        <v>5.74</v>
      </c>
      <c r="E726">
        <v>0.17</v>
      </c>
      <c r="F726">
        <v>5.72</v>
      </c>
      <c r="G726">
        <v>5.75</v>
      </c>
      <c r="H726">
        <v>20681</v>
      </c>
      <c r="I726">
        <v>3</v>
      </c>
      <c r="J726">
        <v>0.34</v>
      </c>
      <c r="K726">
        <v>0.88</v>
      </c>
      <c r="L726">
        <v>5.57</v>
      </c>
      <c r="M726">
        <v>5.82</v>
      </c>
      <c r="N726">
        <v>5.56</v>
      </c>
      <c r="O726">
        <v>5.57</v>
      </c>
      <c r="P726">
        <v>73.180000000000007</v>
      </c>
      <c r="Q726">
        <v>11757037</v>
      </c>
      <c r="R726">
        <v>0.9</v>
      </c>
      <c r="S726" t="s">
        <v>374</v>
      </c>
      <c r="T726" t="s">
        <v>191</v>
      </c>
      <c r="U726">
        <v>4.67</v>
      </c>
      <c r="V726">
        <v>5.68</v>
      </c>
      <c r="W726">
        <v>8910</v>
      </c>
      <c r="X726">
        <v>11771</v>
      </c>
      <c r="Y726">
        <v>0.76</v>
      </c>
      <c r="Z726">
        <v>395</v>
      </c>
      <c r="AA726">
        <v>48</v>
      </c>
      <c r="AB726" t="s">
        <v>31</v>
      </c>
    </row>
    <row r="727" spans="1:28">
      <c r="A727" t="str">
        <f>"600857"</f>
        <v>600857</v>
      </c>
      <c r="B727" t="s">
        <v>890</v>
      </c>
      <c r="C727">
        <v>0</v>
      </c>
      <c r="D727">
        <v>8.65</v>
      </c>
      <c r="E727">
        <v>0</v>
      </c>
      <c r="F727" t="s">
        <v>31</v>
      </c>
      <c r="G727" t="s">
        <v>31</v>
      </c>
      <c r="H727">
        <v>0</v>
      </c>
      <c r="I727">
        <v>0</v>
      </c>
      <c r="J727">
        <v>0</v>
      </c>
      <c r="K727">
        <v>0</v>
      </c>
      <c r="L727" t="s">
        <v>31</v>
      </c>
      <c r="M727" t="s">
        <v>31</v>
      </c>
      <c r="N727" t="s">
        <v>31</v>
      </c>
      <c r="O727">
        <v>8.65</v>
      </c>
      <c r="P727">
        <v>49.98</v>
      </c>
      <c r="Q727">
        <v>0</v>
      </c>
      <c r="R727">
        <v>0</v>
      </c>
      <c r="S727" t="s">
        <v>374</v>
      </c>
      <c r="T727" t="s">
        <v>95</v>
      </c>
      <c r="U727">
        <v>0</v>
      </c>
      <c r="V727">
        <v>8.65</v>
      </c>
      <c r="W727">
        <v>0</v>
      </c>
      <c r="X727">
        <v>0</v>
      </c>
      <c r="Y727" t="s">
        <v>31</v>
      </c>
      <c r="Z727">
        <v>0</v>
      </c>
      <c r="AA727">
        <v>0</v>
      </c>
      <c r="AB727" t="s">
        <v>31</v>
      </c>
    </row>
    <row r="728" spans="1:28">
      <c r="A728" t="str">
        <f>"600858"</f>
        <v>600858</v>
      </c>
      <c r="B728" t="s">
        <v>891</v>
      </c>
      <c r="C728">
        <v>0.55000000000000004</v>
      </c>
      <c r="D728">
        <v>7.32</v>
      </c>
      <c r="E728">
        <v>0.04</v>
      </c>
      <c r="F728">
        <v>7.32</v>
      </c>
      <c r="G728">
        <v>7.34</v>
      </c>
      <c r="H728">
        <v>44476</v>
      </c>
      <c r="I728">
        <v>133</v>
      </c>
      <c r="J728">
        <v>-0.27</v>
      </c>
      <c r="K728">
        <v>0.86</v>
      </c>
      <c r="L728">
        <v>7.23</v>
      </c>
      <c r="M728">
        <v>7.39</v>
      </c>
      <c r="N728">
        <v>7.16</v>
      </c>
      <c r="O728">
        <v>7.28</v>
      </c>
      <c r="P728">
        <v>14.61</v>
      </c>
      <c r="Q728">
        <v>32441734</v>
      </c>
      <c r="R728">
        <v>0.67</v>
      </c>
      <c r="S728" t="s">
        <v>374</v>
      </c>
      <c r="T728" t="s">
        <v>57</v>
      </c>
      <c r="U728">
        <v>3.16</v>
      </c>
      <c r="V728">
        <v>7.29</v>
      </c>
      <c r="W728">
        <v>22771</v>
      </c>
      <c r="X728">
        <v>21705</v>
      </c>
      <c r="Y728">
        <v>1.05</v>
      </c>
      <c r="Z728">
        <v>50</v>
      </c>
      <c r="AA728">
        <v>58</v>
      </c>
      <c r="AB728" t="s">
        <v>31</v>
      </c>
    </row>
    <row r="729" spans="1:28">
      <c r="A729" t="str">
        <f>"600859"</f>
        <v>600859</v>
      </c>
      <c r="B729" t="s">
        <v>892</v>
      </c>
      <c r="C729">
        <v>-0.05</v>
      </c>
      <c r="D729">
        <v>19.649999999999999</v>
      </c>
      <c r="E729">
        <v>-0.01</v>
      </c>
      <c r="F729">
        <v>19.66</v>
      </c>
      <c r="G729">
        <v>19.68</v>
      </c>
      <c r="H729">
        <v>77970</v>
      </c>
      <c r="I729">
        <v>1</v>
      </c>
      <c r="J729">
        <v>0.05</v>
      </c>
      <c r="K729">
        <v>1.87</v>
      </c>
      <c r="L729">
        <v>19.579999999999998</v>
      </c>
      <c r="M729">
        <v>19.7</v>
      </c>
      <c r="N729">
        <v>18.63</v>
      </c>
      <c r="O729">
        <v>19.66</v>
      </c>
      <c r="P729">
        <v>12.28</v>
      </c>
      <c r="Q729">
        <v>149927232</v>
      </c>
      <c r="R729">
        <v>0.7</v>
      </c>
      <c r="S729" t="s">
        <v>374</v>
      </c>
      <c r="T729" t="s">
        <v>42</v>
      </c>
      <c r="U729">
        <v>5.44</v>
      </c>
      <c r="V729">
        <v>19.23</v>
      </c>
      <c r="W729">
        <v>43406</v>
      </c>
      <c r="X729">
        <v>34564</v>
      </c>
      <c r="Y729">
        <v>1.26</v>
      </c>
      <c r="Z729">
        <v>84</v>
      </c>
      <c r="AA729">
        <v>87</v>
      </c>
      <c r="AB729" t="s">
        <v>31</v>
      </c>
    </row>
    <row r="730" spans="1:28">
      <c r="A730" t="str">
        <f>"600860"</f>
        <v>600860</v>
      </c>
      <c r="B730" t="s">
        <v>893</v>
      </c>
      <c r="C730">
        <v>0.85</v>
      </c>
      <c r="D730">
        <v>8.34</v>
      </c>
      <c r="E730">
        <v>7.0000000000000007E-2</v>
      </c>
      <c r="F730">
        <v>8.33</v>
      </c>
      <c r="G730">
        <v>8.34</v>
      </c>
      <c r="H730">
        <v>15940</v>
      </c>
      <c r="I730">
        <v>1</v>
      </c>
      <c r="J730">
        <v>0.24</v>
      </c>
      <c r="K730">
        <v>0.5</v>
      </c>
      <c r="L730">
        <v>8.25</v>
      </c>
      <c r="M730">
        <v>8.35</v>
      </c>
      <c r="N730">
        <v>8.18</v>
      </c>
      <c r="O730">
        <v>8.27</v>
      </c>
      <c r="P730" t="s">
        <v>31</v>
      </c>
      <c r="Q730">
        <v>13160621</v>
      </c>
      <c r="R730">
        <v>0.55000000000000004</v>
      </c>
      <c r="S730" t="s">
        <v>894</v>
      </c>
      <c r="T730" t="s">
        <v>42</v>
      </c>
      <c r="U730">
        <v>2.06</v>
      </c>
      <c r="V730">
        <v>8.26</v>
      </c>
      <c r="W730">
        <v>7501</v>
      </c>
      <c r="X730">
        <v>8439</v>
      </c>
      <c r="Y730">
        <v>0.89</v>
      </c>
      <c r="Z730">
        <v>137</v>
      </c>
      <c r="AA730">
        <v>37</v>
      </c>
      <c r="AB730" t="s">
        <v>31</v>
      </c>
    </row>
    <row r="731" spans="1:28">
      <c r="A731" t="str">
        <f>"600861"</f>
        <v>600861</v>
      </c>
      <c r="B731" t="s">
        <v>895</v>
      </c>
      <c r="C731">
        <v>1.34</v>
      </c>
      <c r="D731">
        <v>7.59</v>
      </c>
      <c r="E731">
        <v>0.1</v>
      </c>
      <c r="F731">
        <v>7.58</v>
      </c>
      <c r="G731">
        <v>7.59</v>
      </c>
      <c r="H731">
        <v>14066</v>
      </c>
      <c r="I731">
        <v>19</v>
      </c>
      <c r="J731">
        <v>-0.26</v>
      </c>
      <c r="K731">
        <v>0.44</v>
      </c>
      <c r="L731">
        <v>7.56</v>
      </c>
      <c r="M731">
        <v>7.65</v>
      </c>
      <c r="N731">
        <v>7.53</v>
      </c>
      <c r="O731">
        <v>7.49</v>
      </c>
      <c r="P731">
        <v>25.54</v>
      </c>
      <c r="Q731">
        <v>10681804</v>
      </c>
      <c r="R731">
        <v>0.41</v>
      </c>
      <c r="S731" t="s">
        <v>374</v>
      </c>
      <c r="T731" t="s">
        <v>42</v>
      </c>
      <c r="U731">
        <v>1.6</v>
      </c>
      <c r="V731">
        <v>7.59</v>
      </c>
      <c r="W731">
        <v>8238</v>
      </c>
      <c r="X731">
        <v>5828</v>
      </c>
      <c r="Y731">
        <v>1.41</v>
      </c>
      <c r="Z731">
        <v>95</v>
      </c>
      <c r="AA731">
        <v>6</v>
      </c>
      <c r="AB731" t="s">
        <v>31</v>
      </c>
    </row>
    <row r="732" spans="1:28">
      <c r="A732" t="str">
        <f>"600862"</f>
        <v>600862</v>
      </c>
      <c r="B732" t="s">
        <v>896</v>
      </c>
      <c r="C732">
        <v>1.55</v>
      </c>
      <c r="D732">
        <v>3.27</v>
      </c>
      <c r="E732">
        <v>0.05</v>
      </c>
      <c r="F732">
        <v>3.27</v>
      </c>
      <c r="G732">
        <v>3.28</v>
      </c>
      <c r="H732">
        <v>39954</v>
      </c>
      <c r="I732">
        <v>4</v>
      </c>
      <c r="J732">
        <v>0</v>
      </c>
      <c r="K732">
        <v>0.63</v>
      </c>
      <c r="L732">
        <v>3.23</v>
      </c>
      <c r="M732">
        <v>3.28</v>
      </c>
      <c r="N732">
        <v>3.19</v>
      </c>
      <c r="O732">
        <v>3.22</v>
      </c>
      <c r="P732">
        <v>4938.51</v>
      </c>
      <c r="Q732">
        <v>12929295</v>
      </c>
      <c r="R732">
        <v>0.85</v>
      </c>
      <c r="S732" t="s">
        <v>90</v>
      </c>
      <c r="T732" t="s">
        <v>120</v>
      </c>
      <c r="U732">
        <v>2.8</v>
      </c>
      <c r="V732">
        <v>3.24</v>
      </c>
      <c r="W732">
        <v>15237</v>
      </c>
      <c r="X732">
        <v>24717</v>
      </c>
      <c r="Y732">
        <v>0.62</v>
      </c>
      <c r="Z732">
        <v>904</v>
      </c>
      <c r="AA732">
        <v>1348</v>
      </c>
      <c r="AB732" t="s">
        <v>31</v>
      </c>
    </row>
    <row r="733" spans="1:28">
      <c r="A733" t="str">
        <f>"600863"</f>
        <v>600863</v>
      </c>
      <c r="B733" t="s">
        <v>897</v>
      </c>
      <c r="C733">
        <v>5.82</v>
      </c>
      <c r="D733">
        <v>4</v>
      </c>
      <c r="E733">
        <v>0.22</v>
      </c>
      <c r="F733">
        <v>3.99</v>
      </c>
      <c r="G733">
        <v>4</v>
      </c>
      <c r="H733">
        <v>2134108</v>
      </c>
      <c r="I733">
        <v>53</v>
      </c>
      <c r="J733">
        <v>-0.49</v>
      </c>
      <c r="K733">
        <v>12.13</v>
      </c>
      <c r="L733">
        <v>3.76</v>
      </c>
      <c r="M733">
        <v>4.16</v>
      </c>
      <c r="N733">
        <v>3.72</v>
      </c>
      <c r="O733">
        <v>3.78</v>
      </c>
      <c r="P733">
        <v>9.06</v>
      </c>
      <c r="Q733">
        <v>862803584</v>
      </c>
      <c r="R733">
        <v>4.68</v>
      </c>
      <c r="S733" t="s">
        <v>49</v>
      </c>
      <c r="T733" t="s">
        <v>47</v>
      </c>
      <c r="U733">
        <v>11.64</v>
      </c>
      <c r="V733">
        <v>4.04</v>
      </c>
      <c r="W733">
        <v>996299</v>
      </c>
      <c r="X733">
        <v>1137809</v>
      </c>
      <c r="Y733">
        <v>0.88</v>
      </c>
      <c r="Z733">
        <v>4147</v>
      </c>
      <c r="AA733">
        <v>2459</v>
      </c>
      <c r="AB733" t="s">
        <v>31</v>
      </c>
    </row>
    <row r="734" spans="1:28">
      <c r="A734" t="str">
        <f>"600864"</f>
        <v>600864</v>
      </c>
      <c r="B734" t="s">
        <v>898</v>
      </c>
      <c r="C734">
        <v>-0.1</v>
      </c>
      <c r="D734">
        <v>10.24</v>
      </c>
      <c r="E734">
        <v>-0.01</v>
      </c>
      <c r="F734">
        <v>10.24</v>
      </c>
      <c r="G734">
        <v>10.25</v>
      </c>
      <c r="H734">
        <v>77060</v>
      </c>
      <c r="I734">
        <v>45</v>
      </c>
      <c r="J734">
        <v>-0.09</v>
      </c>
      <c r="K734">
        <v>1.41</v>
      </c>
      <c r="L734">
        <v>10.08</v>
      </c>
      <c r="M734">
        <v>10.44</v>
      </c>
      <c r="N734">
        <v>9.9700000000000006</v>
      </c>
      <c r="O734">
        <v>10.25</v>
      </c>
      <c r="P734">
        <v>13.91</v>
      </c>
      <c r="Q734">
        <v>79063808</v>
      </c>
      <c r="R734">
        <v>0.75</v>
      </c>
      <c r="S734" t="s">
        <v>49</v>
      </c>
      <c r="T734" t="s">
        <v>85</v>
      </c>
      <c r="U734">
        <v>4.59</v>
      </c>
      <c r="V734">
        <v>10.26</v>
      </c>
      <c r="W734">
        <v>37522</v>
      </c>
      <c r="X734">
        <v>39538</v>
      </c>
      <c r="Y734">
        <v>0.95</v>
      </c>
      <c r="Z734">
        <v>134</v>
      </c>
      <c r="AA734">
        <v>28</v>
      </c>
      <c r="AB734" t="s">
        <v>31</v>
      </c>
    </row>
    <row r="735" spans="1:28">
      <c r="A735" t="str">
        <f>"600865"</f>
        <v>600865</v>
      </c>
      <c r="B735" t="s">
        <v>899</v>
      </c>
      <c r="C735">
        <v>1.2</v>
      </c>
      <c r="D735">
        <v>5.9</v>
      </c>
      <c r="E735">
        <v>7.0000000000000007E-2</v>
      </c>
      <c r="F735">
        <v>5.89</v>
      </c>
      <c r="G735">
        <v>5.9</v>
      </c>
      <c r="H735">
        <v>10611</v>
      </c>
      <c r="I735">
        <v>1</v>
      </c>
      <c r="J735">
        <v>0</v>
      </c>
      <c r="K735">
        <v>0.28000000000000003</v>
      </c>
      <c r="L735">
        <v>5.85</v>
      </c>
      <c r="M735">
        <v>5.9</v>
      </c>
      <c r="N735">
        <v>5.81</v>
      </c>
      <c r="O735">
        <v>5.83</v>
      </c>
      <c r="P735">
        <v>25.17</v>
      </c>
      <c r="Q735">
        <v>6231146</v>
      </c>
      <c r="R735">
        <v>0.33</v>
      </c>
      <c r="S735" t="s">
        <v>374</v>
      </c>
      <c r="T735" t="s">
        <v>95</v>
      </c>
      <c r="U735">
        <v>1.54</v>
      </c>
      <c r="V735">
        <v>5.87</v>
      </c>
      <c r="W735">
        <v>4694</v>
      </c>
      <c r="X735">
        <v>5917</v>
      </c>
      <c r="Y735">
        <v>0.79</v>
      </c>
      <c r="Z735">
        <v>149</v>
      </c>
      <c r="AA735">
        <v>242</v>
      </c>
      <c r="AB735" t="s">
        <v>31</v>
      </c>
    </row>
    <row r="736" spans="1:28">
      <c r="A736" t="str">
        <f>"600866"</f>
        <v>600866</v>
      </c>
      <c r="B736" t="s">
        <v>900</v>
      </c>
      <c r="C736">
        <v>2.66</v>
      </c>
      <c r="D736">
        <v>4.25</v>
      </c>
      <c r="E736">
        <v>0.11</v>
      </c>
      <c r="F736">
        <v>4.2300000000000004</v>
      </c>
      <c r="G736">
        <v>4.25</v>
      </c>
      <c r="H736">
        <v>23962</v>
      </c>
      <c r="I736">
        <v>96</v>
      </c>
      <c r="J736">
        <v>0.23</v>
      </c>
      <c r="K736">
        <v>0.44</v>
      </c>
      <c r="L736">
        <v>4.1399999999999997</v>
      </c>
      <c r="M736">
        <v>4.25</v>
      </c>
      <c r="N736">
        <v>4.1399999999999997</v>
      </c>
      <c r="O736">
        <v>4.1399999999999997</v>
      </c>
      <c r="P736" t="s">
        <v>31</v>
      </c>
      <c r="Q736">
        <v>10068351</v>
      </c>
      <c r="R736">
        <v>0.53</v>
      </c>
      <c r="S736" t="s">
        <v>133</v>
      </c>
      <c r="T736" t="s">
        <v>34</v>
      </c>
      <c r="U736">
        <v>2.66</v>
      </c>
      <c r="V736">
        <v>4.2</v>
      </c>
      <c r="W736">
        <v>8815</v>
      </c>
      <c r="X736">
        <v>15147</v>
      </c>
      <c r="Y736">
        <v>0.57999999999999996</v>
      </c>
      <c r="Z736">
        <v>172</v>
      </c>
      <c r="AA736">
        <v>625</v>
      </c>
      <c r="AB736" t="s">
        <v>31</v>
      </c>
    </row>
    <row r="737" spans="1:28">
      <c r="A737" t="str">
        <f>"600867"</f>
        <v>600867</v>
      </c>
      <c r="B737" t="s">
        <v>901</v>
      </c>
      <c r="C737">
        <v>2.39</v>
      </c>
      <c r="D737">
        <v>15</v>
      </c>
      <c r="E737">
        <v>0.35</v>
      </c>
      <c r="F737">
        <v>14.98</v>
      </c>
      <c r="G737">
        <v>14.99</v>
      </c>
      <c r="H737">
        <v>57690</v>
      </c>
      <c r="I737">
        <v>23</v>
      </c>
      <c r="J737">
        <v>0</v>
      </c>
      <c r="K737">
        <v>0.62</v>
      </c>
      <c r="L737">
        <v>14.68</v>
      </c>
      <c r="M737">
        <v>15.08</v>
      </c>
      <c r="N737">
        <v>14.56</v>
      </c>
      <c r="O737">
        <v>14.65</v>
      </c>
      <c r="P737">
        <v>55.65</v>
      </c>
      <c r="Q737">
        <v>86028144</v>
      </c>
      <c r="R737">
        <v>0.67</v>
      </c>
      <c r="S737" t="s">
        <v>145</v>
      </c>
      <c r="T737" t="s">
        <v>191</v>
      </c>
      <c r="U737">
        <v>3.55</v>
      </c>
      <c r="V737">
        <v>14.91</v>
      </c>
      <c r="W737">
        <v>24046</v>
      </c>
      <c r="X737">
        <v>33644</v>
      </c>
      <c r="Y737">
        <v>0.71</v>
      </c>
      <c r="Z737">
        <v>0</v>
      </c>
      <c r="AA737">
        <v>194</v>
      </c>
      <c r="AB737" t="s">
        <v>31</v>
      </c>
    </row>
    <row r="738" spans="1:28">
      <c r="A738" t="str">
        <f>"600868"</f>
        <v>600868</v>
      </c>
      <c r="B738" t="s">
        <v>902</v>
      </c>
      <c r="C738">
        <v>2.25</v>
      </c>
      <c r="D738">
        <v>2.73</v>
      </c>
      <c r="E738">
        <v>0.06</v>
      </c>
      <c r="F738">
        <v>2.73</v>
      </c>
      <c r="G738">
        <v>2.74</v>
      </c>
      <c r="H738">
        <v>784003</v>
      </c>
      <c r="I738">
        <v>43</v>
      </c>
      <c r="J738">
        <v>0.73</v>
      </c>
      <c r="K738">
        <v>4.13</v>
      </c>
      <c r="L738">
        <v>2.62</v>
      </c>
      <c r="M738">
        <v>2.75</v>
      </c>
      <c r="N738">
        <v>2.58</v>
      </c>
      <c r="O738">
        <v>2.67</v>
      </c>
      <c r="P738">
        <v>121.64</v>
      </c>
      <c r="Q738">
        <v>211082592</v>
      </c>
      <c r="R738">
        <v>0.98</v>
      </c>
      <c r="S738" t="s">
        <v>179</v>
      </c>
      <c r="T738" t="s">
        <v>34</v>
      </c>
      <c r="U738">
        <v>6.37</v>
      </c>
      <c r="V738">
        <v>2.69</v>
      </c>
      <c r="W738">
        <v>374014</v>
      </c>
      <c r="X738">
        <v>409989</v>
      </c>
      <c r="Y738">
        <v>0.91</v>
      </c>
      <c r="Z738">
        <v>442</v>
      </c>
      <c r="AA738">
        <v>7829</v>
      </c>
      <c r="AB738" t="s">
        <v>31</v>
      </c>
    </row>
    <row r="739" spans="1:28">
      <c r="A739" t="str">
        <f>"600869"</f>
        <v>600869</v>
      </c>
      <c r="B739" t="s">
        <v>903</v>
      </c>
      <c r="C739">
        <v>0.99</v>
      </c>
      <c r="D739">
        <v>7.11</v>
      </c>
      <c r="E739">
        <v>7.0000000000000007E-2</v>
      </c>
      <c r="F739">
        <v>7.1</v>
      </c>
      <c r="G739">
        <v>7.11</v>
      </c>
      <c r="H739">
        <v>24220</v>
      </c>
      <c r="I739">
        <v>11</v>
      </c>
      <c r="J739">
        <v>0</v>
      </c>
      <c r="K739">
        <v>0.24</v>
      </c>
      <c r="L739">
        <v>7.09</v>
      </c>
      <c r="M739">
        <v>7.19</v>
      </c>
      <c r="N739">
        <v>7.04</v>
      </c>
      <c r="O739">
        <v>7.04</v>
      </c>
      <c r="P739">
        <v>38.4</v>
      </c>
      <c r="Q739">
        <v>17222664</v>
      </c>
      <c r="R739">
        <v>0.56999999999999995</v>
      </c>
      <c r="S739" t="s">
        <v>161</v>
      </c>
      <c r="T739" t="s">
        <v>203</v>
      </c>
      <c r="U739">
        <v>2.13</v>
      </c>
      <c r="V739">
        <v>7.11</v>
      </c>
      <c r="W739">
        <v>14935</v>
      </c>
      <c r="X739">
        <v>9285</v>
      </c>
      <c r="Y739">
        <v>1.61</v>
      </c>
      <c r="Z739">
        <v>387</v>
      </c>
      <c r="AA739">
        <v>26</v>
      </c>
      <c r="AB739" t="s">
        <v>31</v>
      </c>
    </row>
    <row r="740" spans="1:28">
      <c r="A740" t="str">
        <f>"600870"</f>
        <v>600870</v>
      </c>
      <c r="B740" t="s">
        <v>904</v>
      </c>
      <c r="C740">
        <v>0</v>
      </c>
      <c r="D740">
        <v>3.09</v>
      </c>
      <c r="E740">
        <v>0</v>
      </c>
      <c r="F740" t="s">
        <v>31</v>
      </c>
      <c r="G740" t="s">
        <v>31</v>
      </c>
      <c r="H740">
        <v>0</v>
      </c>
      <c r="I740">
        <v>0</v>
      </c>
      <c r="J740">
        <v>0</v>
      </c>
      <c r="K740">
        <v>0</v>
      </c>
      <c r="L740" t="s">
        <v>31</v>
      </c>
      <c r="M740" t="s">
        <v>31</v>
      </c>
      <c r="N740" t="s">
        <v>31</v>
      </c>
      <c r="O740">
        <v>3.09</v>
      </c>
      <c r="P740">
        <v>55.25</v>
      </c>
      <c r="Q740">
        <v>0</v>
      </c>
      <c r="R740">
        <v>0</v>
      </c>
      <c r="S740" t="s">
        <v>113</v>
      </c>
      <c r="T740" t="s">
        <v>78</v>
      </c>
      <c r="U740">
        <v>0</v>
      </c>
      <c r="V740">
        <v>3.09</v>
      </c>
      <c r="W740">
        <v>0</v>
      </c>
      <c r="X740">
        <v>0</v>
      </c>
      <c r="Y740" t="s">
        <v>31</v>
      </c>
      <c r="Z740">
        <v>0</v>
      </c>
      <c r="AA740">
        <v>0</v>
      </c>
      <c r="AB740" t="s">
        <v>31</v>
      </c>
    </row>
    <row r="741" spans="1:28">
      <c r="A741" t="str">
        <f>"600871"</f>
        <v>600871</v>
      </c>
      <c r="B741" t="s">
        <v>905</v>
      </c>
      <c r="C741">
        <v>0.92</v>
      </c>
      <c r="D741">
        <v>4.41</v>
      </c>
      <c r="E741">
        <v>0.04</v>
      </c>
      <c r="F741">
        <v>4.41</v>
      </c>
      <c r="G741">
        <v>4.42</v>
      </c>
      <c r="H741">
        <v>55823</v>
      </c>
      <c r="I741">
        <v>1</v>
      </c>
      <c r="J741">
        <v>-0.22</v>
      </c>
      <c r="K741">
        <v>1.86</v>
      </c>
      <c r="L741">
        <v>4.3499999999999996</v>
      </c>
      <c r="M741">
        <v>4.43</v>
      </c>
      <c r="N741">
        <v>4.3</v>
      </c>
      <c r="O741">
        <v>4.37</v>
      </c>
      <c r="P741" t="s">
        <v>31</v>
      </c>
      <c r="Q741">
        <v>24501970</v>
      </c>
      <c r="R741">
        <v>1.1100000000000001</v>
      </c>
      <c r="S741" t="s">
        <v>115</v>
      </c>
      <c r="T741" t="s">
        <v>120</v>
      </c>
      <c r="U741">
        <v>2.97</v>
      </c>
      <c r="V741">
        <v>4.3899999999999997</v>
      </c>
      <c r="W741">
        <v>28850</v>
      </c>
      <c r="X741">
        <v>26973</v>
      </c>
      <c r="Y741">
        <v>1.07</v>
      </c>
      <c r="Z741">
        <v>637</v>
      </c>
      <c r="AA741">
        <v>437</v>
      </c>
      <c r="AB741" t="s">
        <v>31</v>
      </c>
    </row>
    <row r="742" spans="1:28">
      <c r="A742" t="str">
        <f>"600872"</f>
        <v>600872</v>
      </c>
      <c r="B742" t="s">
        <v>906</v>
      </c>
      <c r="C742">
        <v>1.76</v>
      </c>
      <c r="D742">
        <v>10.98</v>
      </c>
      <c r="E742">
        <v>0.19</v>
      </c>
      <c r="F742">
        <v>10.98</v>
      </c>
      <c r="G742">
        <v>10.99</v>
      </c>
      <c r="H742">
        <v>146245</v>
      </c>
      <c r="I742">
        <v>128</v>
      </c>
      <c r="J742">
        <v>0.27</v>
      </c>
      <c r="K742">
        <v>1.84</v>
      </c>
      <c r="L742">
        <v>10.59</v>
      </c>
      <c r="M742">
        <v>11.14</v>
      </c>
      <c r="N742">
        <v>10.59</v>
      </c>
      <c r="O742">
        <v>10.79</v>
      </c>
      <c r="P742">
        <v>48.6</v>
      </c>
      <c r="Q742">
        <v>158900576</v>
      </c>
      <c r="R742">
        <v>0.77</v>
      </c>
      <c r="S742" t="s">
        <v>133</v>
      </c>
      <c r="T742" t="s">
        <v>34</v>
      </c>
      <c r="U742">
        <v>5.0999999999999996</v>
      </c>
      <c r="V742">
        <v>10.87</v>
      </c>
      <c r="W742">
        <v>65562</v>
      </c>
      <c r="X742">
        <v>80683</v>
      </c>
      <c r="Y742">
        <v>0.81</v>
      </c>
      <c r="Z742">
        <v>35</v>
      </c>
      <c r="AA742">
        <v>378</v>
      </c>
      <c r="AB742" t="s">
        <v>31</v>
      </c>
    </row>
    <row r="743" spans="1:28">
      <c r="A743" t="str">
        <f>"600873"</f>
        <v>600873</v>
      </c>
      <c r="B743" t="s">
        <v>907</v>
      </c>
      <c r="C743">
        <v>4.59</v>
      </c>
      <c r="D743">
        <v>5.7</v>
      </c>
      <c r="E743">
        <v>0.25</v>
      </c>
      <c r="F743">
        <v>5.69</v>
      </c>
      <c r="G743">
        <v>5.7</v>
      </c>
      <c r="H743">
        <v>134290</v>
      </c>
      <c r="I743">
        <v>50</v>
      </c>
      <c r="J743">
        <v>0</v>
      </c>
      <c r="K743">
        <v>0.84</v>
      </c>
      <c r="L743">
        <v>5.42</v>
      </c>
      <c r="M743">
        <v>5.78</v>
      </c>
      <c r="N743">
        <v>5.42</v>
      </c>
      <c r="O743">
        <v>5.45</v>
      </c>
      <c r="P743">
        <v>48.35</v>
      </c>
      <c r="Q743">
        <v>76230464</v>
      </c>
      <c r="R743">
        <v>1.32</v>
      </c>
      <c r="S743" t="s">
        <v>133</v>
      </c>
      <c r="T743" t="s">
        <v>306</v>
      </c>
      <c r="U743">
        <v>6.61</v>
      </c>
      <c r="V743">
        <v>5.68</v>
      </c>
      <c r="W743">
        <v>69592</v>
      </c>
      <c r="X743">
        <v>64698</v>
      </c>
      <c r="Y743">
        <v>1.08</v>
      </c>
      <c r="Z743">
        <v>860</v>
      </c>
      <c r="AA743">
        <v>6</v>
      </c>
      <c r="AB743" t="s">
        <v>31</v>
      </c>
    </row>
    <row r="744" spans="1:28">
      <c r="A744" t="str">
        <f>"600874"</f>
        <v>600874</v>
      </c>
      <c r="B744" t="s">
        <v>908</v>
      </c>
      <c r="C744">
        <v>2.68</v>
      </c>
      <c r="D744">
        <v>8.82</v>
      </c>
      <c r="E744">
        <v>0.23</v>
      </c>
      <c r="F744">
        <v>8.8000000000000007</v>
      </c>
      <c r="G744">
        <v>8.81</v>
      </c>
      <c r="H744">
        <v>120124</v>
      </c>
      <c r="I744">
        <v>31</v>
      </c>
      <c r="J744">
        <v>-0.33</v>
      </c>
      <c r="K744">
        <v>1.1000000000000001</v>
      </c>
      <c r="L744">
        <v>8.6</v>
      </c>
      <c r="M744">
        <v>8.8699999999999992</v>
      </c>
      <c r="N744">
        <v>8.5399999999999991</v>
      </c>
      <c r="O744">
        <v>8.59</v>
      </c>
      <c r="P744">
        <v>54.18</v>
      </c>
      <c r="Q744">
        <v>104655008</v>
      </c>
      <c r="R744">
        <v>0.59</v>
      </c>
      <c r="S744" t="s">
        <v>44</v>
      </c>
      <c r="T744" t="s">
        <v>151</v>
      </c>
      <c r="U744">
        <v>3.84</v>
      </c>
      <c r="V744">
        <v>8.7100000000000009</v>
      </c>
      <c r="W744">
        <v>58167</v>
      </c>
      <c r="X744">
        <v>61957</v>
      </c>
      <c r="Y744">
        <v>0.94</v>
      </c>
      <c r="Z744">
        <v>281</v>
      </c>
      <c r="AA744">
        <v>19</v>
      </c>
      <c r="AB744" t="s">
        <v>31</v>
      </c>
    </row>
    <row r="745" spans="1:28">
      <c r="A745" t="str">
        <f>"600875"</f>
        <v>600875</v>
      </c>
      <c r="B745" t="s">
        <v>909</v>
      </c>
      <c r="C745">
        <v>1.62</v>
      </c>
      <c r="D745">
        <v>11.32</v>
      </c>
      <c r="E745">
        <v>0.18</v>
      </c>
      <c r="F745">
        <v>11.32</v>
      </c>
      <c r="G745">
        <v>11.33</v>
      </c>
      <c r="H745">
        <v>67016</v>
      </c>
      <c r="I745">
        <v>75</v>
      </c>
      <c r="J745">
        <v>0</v>
      </c>
      <c r="K745">
        <v>0.4</v>
      </c>
      <c r="L745">
        <v>11.12</v>
      </c>
      <c r="M745">
        <v>11.33</v>
      </c>
      <c r="N745">
        <v>11.11</v>
      </c>
      <c r="O745">
        <v>11.14</v>
      </c>
      <c r="P745">
        <v>9.56</v>
      </c>
      <c r="Q745">
        <v>75254368</v>
      </c>
      <c r="R745">
        <v>0.72</v>
      </c>
      <c r="S745" t="s">
        <v>161</v>
      </c>
      <c r="T745" t="s">
        <v>88</v>
      </c>
      <c r="U745">
        <v>1.97</v>
      </c>
      <c r="V745">
        <v>11.23</v>
      </c>
      <c r="W745">
        <v>43337</v>
      </c>
      <c r="X745">
        <v>23679</v>
      </c>
      <c r="Y745">
        <v>1.83</v>
      </c>
      <c r="Z745">
        <v>424</v>
      </c>
      <c r="AA745">
        <v>342</v>
      </c>
      <c r="AB745" t="s">
        <v>31</v>
      </c>
    </row>
    <row r="746" spans="1:28">
      <c r="A746" t="str">
        <f>"600876"</f>
        <v>600876</v>
      </c>
      <c r="B746" t="s">
        <v>910</v>
      </c>
      <c r="C746">
        <v>1.69</v>
      </c>
      <c r="D746">
        <v>4.82</v>
      </c>
      <c r="E746">
        <v>0.08</v>
      </c>
      <c r="F746">
        <v>4.82</v>
      </c>
      <c r="G746">
        <v>4.83</v>
      </c>
      <c r="H746">
        <v>7752</v>
      </c>
      <c r="I746">
        <v>11</v>
      </c>
      <c r="J746">
        <v>0</v>
      </c>
      <c r="K746">
        <v>0.31</v>
      </c>
      <c r="L746">
        <v>4.7</v>
      </c>
      <c r="M746">
        <v>4.84</v>
      </c>
      <c r="N746">
        <v>4.66</v>
      </c>
      <c r="O746">
        <v>4.74</v>
      </c>
      <c r="P746" t="s">
        <v>31</v>
      </c>
      <c r="Q746">
        <v>3675208</v>
      </c>
      <c r="R746">
        <v>0.31</v>
      </c>
      <c r="S746" t="s">
        <v>268</v>
      </c>
      <c r="T746" t="s">
        <v>61</v>
      </c>
      <c r="U746">
        <v>3.8</v>
      </c>
      <c r="V746">
        <v>4.74</v>
      </c>
      <c r="W746">
        <v>3544</v>
      </c>
      <c r="X746">
        <v>4208</v>
      </c>
      <c r="Y746">
        <v>0.84</v>
      </c>
      <c r="Z746">
        <v>100</v>
      </c>
      <c r="AA746">
        <v>376</v>
      </c>
      <c r="AB746" t="s">
        <v>31</v>
      </c>
    </row>
    <row r="747" spans="1:28">
      <c r="A747" t="str">
        <f>"600877"</f>
        <v>600877</v>
      </c>
      <c r="B747" t="s">
        <v>911</v>
      </c>
      <c r="C747">
        <v>-0.65</v>
      </c>
      <c r="D747">
        <v>3.05</v>
      </c>
      <c r="E747">
        <v>-0.02</v>
      </c>
      <c r="F747">
        <v>3.04</v>
      </c>
      <c r="G747">
        <v>3.05</v>
      </c>
      <c r="H747">
        <v>74224</v>
      </c>
      <c r="I747">
        <v>810</v>
      </c>
      <c r="J747">
        <v>-0.97</v>
      </c>
      <c r="K747">
        <v>1.08</v>
      </c>
      <c r="L747">
        <v>3.01</v>
      </c>
      <c r="M747">
        <v>3.1</v>
      </c>
      <c r="N747">
        <v>3.01</v>
      </c>
      <c r="O747">
        <v>3.07</v>
      </c>
      <c r="P747" t="s">
        <v>31</v>
      </c>
      <c r="Q747">
        <v>22773564</v>
      </c>
      <c r="R747">
        <v>1.37</v>
      </c>
      <c r="S747" t="s">
        <v>175</v>
      </c>
      <c r="T747" t="s">
        <v>184</v>
      </c>
      <c r="U747">
        <v>2.93</v>
      </c>
      <c r="V747">
        <v>3.07</v>
      </c>
      <c r="W747">
        <v>47104</v>
      </c>
      <c r="X747">
        <v>27120</v>
      </c>
      <c r="Y747">
        <v>1.74</v>
      </c>
      <c r="Z747">
        <v>1887</v>
      </c>
      <c r="AA747">
        <v>44</v>
      </c>
      <c r="AB747" t="s">
        <v>31</v>
      </c>
    </row>
    <row r="748" spans="1:28">
      <c r="A748" t="str">
        <f>"600879"</f>
        <v>600879</v>
      </c>
      <c r="B748" t="s">
        <v>912</v>
      </c>
      <c r="C748">
        <v>2.4700000000000002</v>
      </c>
      <c r="D748">
        <v>7.89</v>
      </c>
      <c r="E748">
        <v>0.19</v>
      </c>
      <c r="F748">
        <v>7.88</v>
      </c>
      <c r="G748">
        <v>7.89</v>
      </c>
      <c r="H748">
        <v>111451</v>
      </c>
      <c r="I748">
        <v>10</v>
      </c>
      <c r="J748">
        <v>0</v>
      </c>
      <c r="K748">
        <v>1.07</v>
      </c>
      <c r="L748">
        <v>7.58</v>
      </c>
      <c r="M748">
        <v>7.92</v>
      </c>
      <c r="N748">
        <v>7.57</v>
      </c>
      <c r="O748">
        <v>7.7</v>
      </c>
      <c r="P748">
        <v>54.6</v>
      </c>
      <c r="Q748">
        <v>86450328</v>
      </c>
      <c r="R748">
        <v>1.1000000000000001</v>
      </c>
      <c r="S748" t="s">
        <v>84</v>
      </c>
      <c r="T748" t="s">
        <v>37</v>
      </c>
      <c r="U748">
        <v>4.55</v>
      </c>
      <c r="V748">
        <v>7.76</v>
      </c>
      <c r="W748">
        <v>49145</v>
      </c>
      <c r="X748">
        <v>62306</v>
      </c>
      <c r="Y748">
        <v>0.79</v>
      </c>
      <c r="Z748">
        <v>673</v>
      </c>
      <c r="AA748">
        <v>163</v>
      </c>
      <c r="AB748" t="s">
        <v>31</v>
      </c>
    </row>
    <row r="749" spans="1:28">
      <c r="A749" t="str">
        <f>"600880"</f>
        <v>600880</v>
      </c>
      <c r="B749" t="s">
        <v>913</v>
      </c>
      <c r="C749">
        <v>3.24</v>
      </c>
      <c r="D749">
        <v>20.7</v>
      </c>
      <c r="E749">
        <v>0.65</v>
      </c>
      <c r="F749">
        <v>20.68</v>
      </c>
      <c r="G749">
        <v>20.69</v>
      </c>
      <c r="H749">
        <v>255207</v>
      </c>
      <c r="I749">
        <v>79</v>
      </c>
      <c r="J749">
        <v>0.14000000000000001</v>
      </c>
      <c r="K749">
        <v>6.16</v>
      </c>
      <c r="L749">
        <v>19.899999999999999</v>
      </c>
      <c r="M749">
        <v>21.16</v>
      </c>
      <c r="N749">
        <v>19.8</v>
      </c>
      <c r="O749">
        <v>20.05</v>
      </c>
      <c r="P749">
        <v>38.1</v>
      </c>
      <c r="Q749">
        <v>528825312</v>
      </c>
      <c r="R749">
        <v>0.95</v>
      </c>
      <c r="S749" t="s">
        <v>304</v>
      </c>
      <c r="T749" t="s">
        <v>88</v>
      </c>
      <c r="U749">
        <v>6.78</v>
      </c>
      <c r="V749">
        <v>20.72</v>
      </c>
      <c r="W749">
        <v>122100</v>
      </c>
      <c r="X749">
        <v>133107</v>
      </c>
      <c r="Y749">
        <v>0.92</v>
      </c>
      <c r="Z749">
        <v>116</v>
      </c>
      <c r="AA749">
        <v>27</v>
      </c>
      <c r="AB749" t="s">
        <v>31</v>
      </c>
    </row>
    <row r="750" spans="1:28">
      <c r="A750" t="str">
        <f>"600881"</f>
        <v>600881</v>
      </c>
      <c r="B750" t="s">
        <v>914</v>
      </c>
      <c r="C750">
        <v>0.79</v>
      </c>
      <c r="D750">
        <v>3.83</v>
      </c>
      <c r="E750">
        <v>0.03</v>
      </c>
      <c r="F750">
        <v>3.83</v>
      </c>
      <c r="G750">
        <v>3.84</v>
      </c>
      <c r="H750">
        <v>102455</v>
      </c>
      <c r="I750">
        <v>8</v>
      </c>
      <c r="J750">
        <v>0.26</v>
      </c>
      <c r="K750">
        <v>0.54</v>
      </c>
      <c r="L750">
        <v>3.79</v>
      </c>
      <c r="M750">
        <v>3.84</v>
      </c>
      <c r="N750">
        <v>3.77</v>
      </c>
      <c r="O750">
        <v>3.8</v>
      </c>
      <c r="P750">
        <v>21.44</v>
      </c>
      <c r="Q750">
        <v>38937228</v>
      </c>
      <c r="R750">
        <v>1</v>
      </c>
      <c r="S750" t="s">
        <v>312</v>
      </c>
      <c r="T750" t="s">
        <v>191</v>
      </c>
      <c r="U750">
        <v>1.84</v>
      </c>
      <c r="V750">
        <v>3.8</v>
      </c>
      <c r="W750">
        <v>66636</v>
      </c>
      <c r="X750">
        <v>35819</v>
      </c>
      <c r="Y750">
        <v>1.86</v>
      </c>
      <c r="Z750">
        <v>482</v>
      </c>
      <c r="AA750">
        <v>2123</v>
      </c>
      <c r="AB750" t="s">
        <v>31</v>
      </c>
    </row>
    <row r="751" spans="1:28">
      <c r="A751" t="str">
        <f>"600882"</f>
        <v>600882</v>
      </c>
      <c r="B751" t="s">
        <v>915</v>
      </c>
      <c r="C751">
        <v>1.92</v>
      </c>
      <c r="D751">
        <v>8.48</v>
      </c>
      <c r="E751">
        <v>0.16</v>
      </c>
      <c r="F751">
        <v>8.4700000000000006</v>
      </c>
      <c r="G751">
        <v>8.49</v>
      </c>
      <c r="H751">
        <v>25860</v>
      </c>
      <c r="I751">
        <v>12</v>
      </c>
      <c r="J751">
        <v>0</v>
      </c>
      <c r="K751">
        <v>0.92</v>
      </c>
      <c r="L751">
        <v>8.33</v>
      </c>
      <c r="M751">
        <v>8.5399999999999991</v>
      </c>
      <c r="N751">
        <v>8.33</v>
      </c>
      <c r="O751">
        <v>8.32</v>
      </c>
      <c r="P751">
        <v>13.89</v>
      </c>
      <c r="Q751">
        <v>21849936</v>
      </c>
      <c r="R751">
        <v>0.45</v>
      </c>
      <c r="S751" t="s">
        <v>36</v>
      </c>
      <c r="T751" t="s">
        <v>57</v>
      </c>
      <c r="U751">
        <v>2.52</v>
      </c>
      <c r="V751">
        <v>8.4499999999999993</v>
      </c>
      <c r="W751">
        <v>11477</v>
      </c>
      <c r="X751">
        <v>14383</v>
      </c>
      <c r="Y751">
        <v>0.8</v>
      </c>
      <c r="Z751">
        <v>35</v>
      </c>
      <c r="AA751">
        <v>170</v>
      </c>
      <c r="AB751" t="s">
        <v>31</v>
      </c>
    </row>
    <row r="752" spans="1:28">
      <c r="A752" t="str">
        <f>"600883"</f>
        <v>600883</v>
      </c>
      <c r="B752" t="s">
        <v>916</v>
      </c>
      <c r="C752">
        <v>1.04</v>
      </c>
      <c r="D752">
        <v>5.83</v>
      </c>
      <c r="E752">
        <v>0.06</v>
      </c>
      <c r="F752">
        <v>5.82</v>
      </c>
      <c r="G752">
        <v>5.83</v>
      </c>
      <c r="H752">
        <v>9670</v>
      </c>
      <c r="I752">
        <v>20</v>
      </c>
      <c r="J752">
        <v>0.34</v>
      </c>
      <c r="K752">
        <v>0.41</v>
      </c>
      <c r="L752">
        <v>5.77</v>
      </c>
      <c r="M752">
        <v>5.83</v>
      </c>
      <c r="N752">
        <v>5.69</v>
      </c>
      <c r="O752">
        <v>5.77</v>
      </c>
      <c r="P752" t="s">
        <v>31</v>
      </c>
      <c r="Q752">
        <v>5572416</v>
      </c>
      <c r="R752">
        <v>0.67</v>
      </c>
      <c r="S752" t="s">
        <v>312</v>
      </c>
      <c r="T752" t="s">
        <v>170</v>
      </c>
      <c r="U752">
        <v>2.4300000000000002</v>
      </c>
      <c r="V752">
        <v>5.76</v>
      </c>
      <c r="W752">
        <v>5005</v>
      </c>
      <c r="X752">
        <v>4665</v>
      </c>
      <c r="Y752">
        <v>1.07</v>
      </c>
      <c r="Z752">
        <v>30</v>
      </c>
      <c r="AA752">
        <v>83</v>
      </c>
      <c r="AB752" t="s">
        <v>31</v>
      </c>
    </row>
    <row r="753" spans="1:28">
      <c r="A753" t="str">
        <f>"600884"</f>
        <v>600884</v>
      </c>
      <c r="B753" t="s">
        <v>917</v>
      </c>
      <c r="C753">
        <v>2.02</v>
      </c>
      <c r="D753">
        <v>12.14</v>
      </c>
      <c r="E753">
        <v>0.24</v>
      </c>
      <c r="F753">
        <v>12.15</v>
      </c>
      <c r="G753">
        <v>12.16</v>
      </c>
      <c r="H753">
        <v>31807</v>
      </c>
      <c r="I753">
        <v>5</v>
      </c>
      <c r="J753">
        <v>0.24</v>
      </c>
      <c r="K753">
        <v>0.77</v>
      </c>
      <c r="L753">
        <v>11.99</v>
      </c>
      <c r="M753">
        <v>12.17</v>
      </c>
      <c r="N753">
        <v>11.92</v>
      </c>
      <c r="O753">
        <v>11.9</v>
      </c>
      <c r="P753">
        <v>26.93</v>
      </c>
      <c r="Q753">
        <v>38358512</v>
      </c>
      <c r="R753">
        <v>0.59</v>
      </c>
      <c r="S753" t="s">
        <v>158</v>
      </c>
      <c r="T753" t="s">
        <v>95</v>
      </c>
      <c r="U753">
        <v>2.1</v>
      </c>
      <c r="V753">
        <v>12.06</v>
      </c>
      <c r="W753">
        <v>15659</v>
      </c>
      <c r="X753">
        <v>16148</v>
      </c>
      <c r="Y753">
        <v>0.97</v>
      </c>
      <c r="Z753">
        <v>104</v>
      </c>
      <c r="AA753">
        <v>140</v>
      </c>
      <c r="AB753" t="s">
        <v>31</v>
      </c>
    </row>
    <row r="754" spans="1:28">
      <c r="A754" t="str">
        <f>"600885"</f>
        <v>600885</v>
      </c>
      <c r="B754" t="s">
        <v>918</v>
      </c>
      <c r="C754">
        <v>4.05</v>
      </c>
      <c r="D754">
        <v>18</v>
      </c>
      <c r="E754">
        <v>0.7</v>
      </c>
      <c r="F754">
        <v>18</v>
      </c>
      <c r="G754">
        <v>18.04</v>
      </c>
      <c r="H754">
        <v>32576</v>
      </c>
      <c r="I754">
        <v>100</v>
      </c>
      <c r="J754">
        <v>0.55000000000000004</v>
      </c>
      <c r="K754">
        <v>1.37</v>
      </c>
      <c r="L754">
        <v>17.39</v>
      </c>
      <c r="M754">
        <v>18.170000000000002</v>
      </c>
      <c r="N754">
        <v>17.39</v>
      </c>
      <c r="O754">
        <v>17.3</v>
      </c>
      <c r="P754">
        <v>26.89</v>
      </c>
      <c r="Q754">
        <v>58101984</v>
      </c>
      <c r="R754">
        <v>1.76</v>
      </c>
      <c r="S754" t="s">
        <v>161</v>
      </c>
      <c r="T754" t="s">
        <v>37</v>
      </c>
      <c r="U754">
        <v>4.51</v>
      </c>
      <c r="V754">
        <v>17.84</v>
      </c>
      <c r="W754">
        <v>13922</v>
      </c>
      <c r="X754">
        <v>18654</v>
      </c>
      <c r="Y754">
        <v>0.75</v>
      </c>
      <c r="Z754">
        <v>316</v>
      </c>
      <c r="AA754">
        <v>33</v>
      </c>
      <c r="AB754" t="s">
        <v>31</v>
      </c>
    </row>
    <row r="755" spans="1:28">
      <c r="A755" t="str">
        <f>"600886"</f>
        <v>600886</v>
      </c>
      <c r="B755" t="s">
        <v>919</v>
      </c>
      <c r="C755">
        <v>9.6999999999999993</v>
      </c>
      <c r="D755">
        <v>4.41</v>
      </c>
      <c r="E755">
        <v>0.39</v>
      </c>
      <c r="F755">
        <v>4.3899999999999997</v>
      </c>
      <c r="G755">
        <v>4.4000000000000004</v>
      </c>
      <c r="H755">
        <v>2861570</v>
      </c>
      <c r="I755">
        <v>82</v>
      </c>
      <c r="J755">
        <v>-0.22</v>
      </c>
      <c r="K755">
        <v>4.22</v>
      </c>
      <c r="L755">
        <v>4.03</v>
      </c>
      <c r="M755">
        <v>4.42</v>
      </c>
      <c r="N755">
        <v>4.01</v>
      </c>
      <c r="O755">
        <v>4.0199999999999996</v>
      </c>
      <c r="P755">
        <v>13.01</v>
      </c>
      <c r="Q755">
        <v>1243884928</v>
      </c>
      <c r="R755">
        <v>5.67</v>
      </c>
      <c r="S755" t="s">
        <v>49</v>
      </c>
      <c r="T755" t="s">
        <v>188</v>
      </c>
      <c r="U755">
        <v>10.199999999999999</v>
      </c>
      <c r="V755">
        <v>4.3499999999999996</v>
      </c>
      <c r="W755">
        <v>1323955</v>
      </c>
      <c r="X755">
        <v>1537615</v>
      </c>
      <c r="Y755">
        <v>0.86</v>
      </c>
      <c r="Z755">
        <v>3906</v>
      </c>
      <c r="AA755">
        <v>204</v>
      </c>
      <c r="AB755" t="s">
        <v>31</v>
      </c>
    </row>
    <row r="756" spans="1:28">
      <c r="A756" t="str">
        <f>"600887"</f>
        <v>600887</v>
      </c>
      <c r="B756" t="s">
        <v>920</v>
      </c>
      <c r="C756">
        <v>3.79</v>
      </c>
      <c r="D756">
        <v>45.7</v>
      </c>
      <c r="E756">
        <v>1.67</v>
      </c>
      <c r="F756">
        <v>45.65</v>
      </c>
      <c r="G756">
        <v>45.66</v>
      </c>
      <c r="H756">
        <v>131948</v>
      </c>
      <c r="I756">
        <v>3</v>
      </c>
      <c r="J756">
        <v>0.17</v>
      </c>
      <c r="K756">
        <v>0.83</v>
      </c>
      <c r="L756">
        <v>44.29</v>
      </c>
      <c r="M756">
        <v>45.96</v>
      </c>
      <c r="N756">
        <v>43.45</v>
      </c>
      <c r="O756">
        <v>44.03</v>
      </c>
      <c r="P756">
        <v>26.86</v>
      </c>
      <c r="Q756">
        <v>589972224</v>
      </c>
      <c r="R756">
        <v>0.71</v>
      </c>
      <c r="S756" t="s">
        <v>513</v>
      </c>
      <c r="T756" t="s">
        <v>47</v>
      </c>
      <c r="U756">
        <v>5.7</v>
      </c>
      <c r="V756">
        <v>44.71</v>
      </c>
      <c r="W756">
        <v>65021</v>
      </c>
      <c r="X756">
        <v>66927</v>
      </c>
      <c r="Y756">
        <v>0.97</v>
      </c>
      <c r="Z756">
        <v>1</v>
      </c>
      <c r="AA756">
        <v>7</v>
      </c>
      <c r="AB756" t="s">
        <v>31</v>
      </c>
    </row>
    <row r="757" spans="1:28">
      <c r="A757" t="str">
        <f>"600888"</f>
        <v>600888</v>
      </c>
      <c r="B757" t="s">
        <v>921</v>
      </c>
      <c r="C757">
        <v>3.06</v>
      </c>
      <c r="D757">
        <v>5.72</v>
      </c>
      <c r="E757">
        <v>0.17</v>
      </c>
      <c r="F757">
        <v>5.72</v>
      </c>
      <c r="G757">
        <v>5.73</v>
      </c>
      <c r="H757">
        <v>45789</v>
      </c>
      <c r="I757">
        <v>229</v>
      </c>
      <c r="J757">
        <v>-0.17</v>
      </c>
      <c r="K757">
        <v>0.73</v>
      </c>
      <c r="L757">
        <v>5.56</v>
      </c>
      <c r="M757">
        <v>5.75</v>
      </c>
      <c r="N757">
        <v>5.55</v>
      </c>
      <c r="O757">
        <v>5.55</v>
      </c>
      <c r="P757">
        <v>43.43</v>
      </c>
      <c r="Q757">
        <v>26042702</v>
      </c>
      <c r="R757">
        <v>0.9</v>
      </c>
      <c r="S757" t="s">
        <v>316</v>
      </c>
      <c r="T757" t="s">
        <v>138</v>
      </c>
      <c r="U757">
        <v>3.6</v>
      </c>
      <c r="V757">
        <v>5.69</v>
      </c>
      <c r="W757">
        <v>14627</v>
      </c>
      <c r="X757">
        <v>31162</v>
      </c>
      <c r="Y757">
        <v>0.47</v>
      </c>
      <c r="Z757">
        <v>136</v>
      </c>
      <c r="AA757">
        <v>221</v>
      </c>
      <c r="AB757" t="s">
        <v>31</v>
      </c>
    </row>
    <row r="758" spans="1:28">
      <c r="A758" t="str">
        <f>"600889"</f>
        <v>600889</v>
      </c>
      <c r="B758" t="s">
        <v>922</v>
      </c>
      <c r="C758">
        <v>3.18</v>
      </c>
      <c r="D758">
        <v>4.8600000000000003</v>
      </c>
      <c r="E758">
        <v>0.15</v>
      </c>
      <c r="F758">
        <v>4.8499999999999996</v>
      </c>
      <c r="G758">
        <v>4.8600000000000003</v>
      </c>
      <c r="H758">
        <v>34410</v>
      </c>
      <c r="I758">
        <v>200</v>
      </c>
      <c r="J758">
        <v>0</v>
      </c>
      <c r="K758">
        <v>1.1200000000000001</v>
      </c>
      <c r="L758">
        <v>4.7300000000000004</v>
      </c>
      <c r="M758">
        <v>4.87</v>
      </c>
      <c r="N758">
        <v>4.68</v>
      </c>
      <c r="O758">
        <v>4.71</v>
      </c>
      <c r="P758">
        <v>3563.41</v>
      </c>
      <c r="Q758">
        <v>16469908</v>
      </c>
      <c r="R758">
        <v>1.05</v>
      </c>
      <c r="S758" t="s">
        <v>115</v>
      </c>
      <c r="T758" t="s">
        <v>120</v>
      </c>
      <c r="U758">
        <v>4.03</v>
      </c>
      <c r="V758">
        <v>4.79</v>
      </c>
      <c r="W758">
        <v>13436</v>
      </c>
      <c r="X758">
        <v>20974</v>
      </c>
      <c r="Y758">
        <v>0.64</v>
      </c>
      <c r="Z758">
        <v>500</v>
      </c>
      <c r="AA758">
        <v>54</v>
      </c>
      <c r="AB758" t="s">
        <v>31</v>
      </c>
    </row>
    <row r="759" spans="1:28">
      <c r="A759" t="str">
        <f>"600890"</f>
        <v>600890</v>
      </c>
      <c r="B759" t="s">
        <v>923</v>
      </c>
      <c r="C759">
        <v>1.52</v>
      </c>
      <c r="D759">
        <v>6.7</v>
      </c>
      <c r="E759">
        <v>0.1</v>
      </c>
      <c r="F759">
        <v>6.69</v>
      </c>
      <c r="G759">
        <v>6.7</v>
      </c>
      <c r="H759">
        <v>22799</v>
      </c>
      <c r="I759">
        <v>154</v>
      </c>
      <c r="J759">
        <v>0.14000000000000001</v>
      </c>
      <c r="K759">
        <v>0.39</v>
      </c>
      <c r="L759">
        <v>6.58</v>
      </c>
      <c r="M759">
        <v>6.73</v>
      </c>
      <c r="N759">
        <v>6.5</v>
      </c>
      <c r="O759">
        <v>6.6</v>
      </c>
      <c r="P759" t="s">
        <v>31</v>
      </c>
      <c r="Q759">
        <v>15159552</v>
      </c>
      <c r="R759">
        <v>0.34</v>
      </c>
      <c r="S759" t="s">
        <v>97</v>
      </c>
      <c r="T759" t="s">
        <v>42</v>
      </c>
      <c r="U759">
        <v>3.48</v>
      </c>
      <c r="V759">
        <v>6.65</v>
      </c>
      <c r="W759">
        <v>10764</v>
      </c>
      <c r="X759">
        <v>12035</v>
      </c>
      <c r="Y759">
        <v>0.89</v>
      </c>
      <c r="Z759">
        <v>317</v>
      </c>
      <c r="AA759">
        <v>414</v>
      </c>
      <c r="AB759" t="s">
        <v>31</v>
      </c>
    </row>
    <row r="760" spans="1:28">
      <c r="A760" t="str">
        <f>"600891"</f>
        <v>600891</v>
      </c>
      <c r="B760" t="s">
        <v>924</v>
      </c>
      <c r="C760">
        <v>-1.98</v>
      </c>
      <c r="D760">
        <v>6.93</v>
      </c>
      <c r="E760">
        <v>-0.14000000000000001</v>
      </c>
      <c r="F760">
        <v>6.92</v>
      </c>
      <c r="G760">
        <v>6.94</v>
      </c>
      <c r="H760">
        <v>79531</v>
      </c>
      <c r="I760">
        <v>57</v>
      </c>
      <c r="J760">
        <v>0.43</v>
      </c>
      <c r="K760">
        <v>2.99</v>
      </c>
      <c r="L760">
        <v>7.1</v>
      </c>
      <c r="M760">
        <v>7.13</v>
      </c>
      <c r="N760">
        <v>6.82</v>
      </c>
      <c r="O760">
        <v>7.07</v>
      </c>
      <c r="P760">
        <v>50.82</v>
      </c>
      <c r="Q760">
        <v>55305340</v>
      </c>
      <c r="R760">
        <v>0.91</v>
      </c>
      <c r="S760" t="s">
        <v>374</v>
      </c>
      <c r="T760" t="s">
        <v>85</v>
      </c>
      <c r="U760">
        <v>4.38</v>
      </c>
      <c r="V760">
        <v>6.95</v>
      </c>
      <c r="W760">
        <v>51831</v>
      </c>
      <c r="X760">
        <v>27700</v>
      </c>
      <c r="Y760">
        <v>1.87</v>
      </c>
      <c r="Z760">
        <v>126</v>
      </c>
      <c r="AA760">
        <v>88</v>
      </c>
      <c r="AB760" t="s">
        <v>31</v>
      </c>
    </row>
    <row r="761" spans="1:28">
      <c r="A761" t="str">
        <f>"600892"</f>
        <v>600892</v>
      </c>
      <c r="B761" t="s">
        <v>925</v>
      </c>
      <c r="C761">
        <v>0.85</v>
      </c>
      <c r="D761">
        <v>14.22</v>
      </c>
      <c r="E761">
        <v>0.12</v>
      </c>
      <c r="F761">
        <v>14.2</v>
      </c>
      <c r="G761">
        <v>14.29</v>
      </c>
      <c r="H761">
        <v>3038</v>
      </c>
      <c r="I761">
        <v>20</v>
      </c>
      <c r="J761">
        <v>0.14000000000000001</v>
      </c>
      <c r="K761">
        <v>0.48</v>
      </c>
      <c r="L761">
        <v>14</v>
      </c>
      <c r="M761">
        <v>14.33</v>
      </c>
      <c r="N761">
        <v>13.92</v>
      </c>
      <c r="O761">
        <v>14.1</v>
      </c>
      <c r="P761">
        <v>245.34</v>
      </c>
      <c r="Q761">
        <v>4289383</v>
      </c>
      <c r="R761">
        <v>0.63</v>
      </c>
      <c r="S761" t="s">
        <v>94</v>
      </c>
      <c r="T761" t="s">
        <v>42</v>
      </c>
      <c r="U761">
        <v>2.91</v>
      </c>
      <c r="V761">
        <v>14.12</v>
      </c>
      <c r="W761">
        <v>1118</v>
      </c>
      <c r="X761">
        <v>1920</v>
      </c>
      <c r="Y761">
        <v>0.57999999999999996</v>
      </c>
      <c r="Z761">
        <v>15</v>
      </c>
      <c r="AA761">
        <v>4</v>
      </c>
      <c r="AB761" t="s">
        <v>31</v>
      </c>
    </row>
    <row r="762" spans="1:28">
      <c r="A762" t="str">
        <f>"600893"</f>
        <v>600893</v>
      </c>
      <c r="B762" t="s">
        <v>926</v>
      </c>
      <c r="C762">
        <v>4.1500000000000004</v>
      </c>
      <c r="D762">
        <v>17.059999999999999</v>
      </c>
      <c r="E762">
        <v>0.68</v>
      </c>
      <c r="F762">
        <v>17.04</v>
      </c>
      <c r="G762">
        <v>17.05</v>
      </c>
      <c r="H762">
        <v>73797</v>
      </c>
      <c r="I762">
        <v>74</v>
      </c>
      <c r="J762">
        <v>0.28999999999999998</v>
      </c>
      <c r="K762">
        <v>0.68</v>
      </c>
      <c r="L762">
        <v>16.3</v>
      </c>
      <c r="M762">
        <v>17.100000000000001</v>
      </c>
      <c r="N762">
        <v>16.2</v>
      </c>
      <c r="O762">
        <v>16.38</v>
      </c>
      <c r="P762">
        <v>67.72</v>
      </c>
      <c r="Q762">
        <v>123362648</v>
      </c>
      <c r="R762">
        <v>0.88</v>
      </c>
      <c r="S762" t="s">
        <v>84</v>
      </c>
      <c r="T762" t="s">
        <v>147</v>
      </c>
      <c r="U762">
        <v>5.49</v>
      </c>
      <c r="V762">
        <v>16.72</v>
      </c>
      <c r="W762">
        <v>39964</v>
      </c>
      <c r="X762">
        <v>33833</v>
      </c>
      <c r="Y762">
        <v>1.18</v>
      </c>
      <c r="Z762">
        <v>12</v>
      </c>
      <c r="AA762">
        <v>164</v>
      </c>
      <c r="AB762" t="s">
        <v>31</v>
      </c>
    </row>
    <row r="763" spans="1:28">
      <c r="A763" t="str">
        <f>"600894"</f>
        <v>600894</v>
      </c>
      <c r="B763" t="s">
        <v>927</v>
      </c>
      <c r="C763">
        <v>4.54</v>
      </c>
      <c r="D763">
        <v>12.44</v>
      </c>
      <c r="E763">
        <v>0.54</v>
      </c>
      <c r="F763">
        <v>12.44</v>
      </c>
      <c r="G763">
        <v>12.45</v>
      </c>
      <c r="H763">
        <v>53341</v>
      </c>
      <c r="I763">
        <v>46</v>
      </c>
      <c r="J763">
        <v>0.16</v>
      </c>
      <c r="K763">
        <v>0.69</v>
      </c>
      <c r="L763">
        <v>12.07</v>
      </c>
      <c r="M763">
        <v>12.55</v>
      </c>
      <c r="N763">
        <v>11.83</v>
      </c>
      <c r="O763">
        <v>11.9</v>
      </c>
      <c r="P763">
        <v>20.55</v>
      </c>
      <c r="Q763">
        <v>65366332</v>
      </c>
      <c r="R763">
        <v>0.95</v>
      </c>
      <c r="S763" t="s">
        <v>556</v>
      </c>
      <c r="T763" t="s">
        <v>34</v>
      </c>
      <c r="U763">
        <v>6.05</v>
      </c>
      <c r="V763">
        <v>12.25</v>
      </c>
      <c r="W763">
        <v>14452</v>
      </c>
      <c r="X763">
        <v>38889</v>
      </c>
      <c r="Y763">
        <v>0.37</v>
      </c>
      <c r="Z763">
        <v>26</v>
      </c>
      <c r="AA763">
        <v>218</v>
      </c>
      <c r="AB763" t="s">
        <v>31</v>
      </c>
    </row>
    <row r="764" spans="1:28">
      <c r="A764" t="str">
        <f>"600895"</f>
        <v>600895</v>
      </c>
      <c r="B764" t="s">
        <v>928</v>
      </c>
      <c r="C764">
        <v>0.13</v>
      </c>
      <c r="D764">
        <v>7.62</v>
      </c>
      <c r="E764">
        <v>0.01</v>
      </c>
      <c r="F764">
        <v>7.62</v>
      </c>
      <c r="G764">
        <v>7.63</v>
      </c>
      <c r="H764">
        <v>91733</v>
      </c>
      <c r="I764">
        <v>902</v>
      </c>
      <c r="J764">
        <v>0.13</v>
      </c>
      <c r="K764">
        <v>0.59</v>
      </c>
      <c r="L764">
        <v>7.55</v>
      </c>
      <c r="M764">
        <v>7.65</v>
      </c>
      <c r="N764">
        <v>7.47</v>
      </c>
      <c r="O764">
        <v>7.61</v>
      </c>
      <c r="P764">
        <v>64.709999999999994</v>
      </c>
      <c r="Q764">
        <v>69279712</v>
      </c>
      <c r="R764">
        <v>0.57999999999999996</v>
      </c>
      <c r="S764" t="s">
        <v>41</v>
      </c>
      <c r="T764" t="s">
        <v>30</v>
      </c>
      <c r="U764">
        <v>2.37</v>
      </c>
      <c r="V764">
        <v>7.55</v>
      </c>
      <c r="W764">
        <v>50238</v>
      </c>
      <c r="X764">
        <v>41495</v>
      </c>
      <c r="Y764">
        <v>1.21</v>
      </c>
      <c r="Z764">
        <v>17</v>
      </c>
      <c r="AA764">
        <v>315</v>
      </c>
      <c r="AB764" t="s">
        <v>31</v>
      </c>
    </row>
    <row r="765" spans="1:28">
      <c r="A765" t="str">
        <f>"600896"</f>
        <v>600896</v>
      </c>
      <c r="B765" t="s">
        <v>929</v>
      </c>
      <c r="C765">
        <v>2.9</v>
      </c>
      <c r="D765">
        <v>3.55</v>
      </c>
      <c r="E765">
        <v>0.1</v>
      </c>
      <c r="F765">
        <v>3.54</v>
      </c>
      <c r="G765">
        <v>3.55</v>
      </c>
      <c r="H765">
        <v>25660</v>
      </c>
      <c r="I765">
        <v>9</v>
      </c>
      <c r="J765">
        <v>0.28000000000000003</v>
      </c>
      <c r="K765">
        <v>0.44</v>
      </c>
      <c r="L765">
        <v>3.45</v>
      </c>
      <c r="M765">
        <v>3.55</v>
      </c>
      <c r="N765">
        <v>3.42</v>
      </c>
      <c r="O765">
        <v>3.45</v>
      </c>
      <c r="P765" t="s">
        <v>31</v>
      </c>
      <c r="Q765">
        <v>8968326</v>
      </c>
      <c r="R765">
        <v>0.65</v>
      </c>
      <c r="S765" t="s">
        <v>65</v>
      </c>
      <c r="T765" t="s">
        <v>302</v>
      </c>
      <c r="U765">
        <v>3.77</v>
      </c>
      <c r="V765">
        <v>3.5</v>
      </c>
      <c r="W765">
        <v>10871</v>
      </c>
      <c r="X765">
        <v>14789</v>
      </c>
      <c r="Y765">
        <v>0.74</v>
      </c>
      <c r="Z765">
        <v>53</v>
      </c>
      <c r="AA765">
        <v>1016</v>
      </c>
      <c r="AB765" t="s">
        <v>31</v>
      </c>
    </row>
    <row r="766" spans="1:28">
      <c r="A766" t="str">
        <f>"600897"</f>
        <v>600897</v>
      </c>
      <c r="B766" t="s">
        <v>930</v>
      </c>
      <c r="C766">
        <v>1.83</v>
      </c>
      <c r="D766">
        <v>14.49</v>
      </c>
      <c r="E766">
        <v>0.26</v>
      </c>
      <c r="F766">
        <v>14.49</v>
      </c>
      <c r="G766">
        <v>14.5</v>
      </c>
      <c r="H766">
        <v>15014</v>
      </c>
      <c r="I766">
        <v>10</v>
      </c>
      <c r="J766">
        <v>0</v>
      </c>
      <c r="K766">
        <v>0.5</v>
      </c>
      <c r="L766">
        <v>14.2</v>
      </c>
      <c r="M766">
        <v>14.59</v>
      </c>
      <c r="N766">
        <v>14.01</v>
      </c>
      <c r="O766">
        <v>14.23</v>
      </c>
      <c r="P766">
        <v>9.86</v>
      </c>
      <c r="Q766">
        <v>21505932</v>
      </c>
      <c r="R766">
        <v>0.73</v>
      </c>
      <c r="S766" t="s">
        <v>33</v>
      </c>
      <c r="T766" t="s">
        <v>78</v>
      </c>
      <c r="U766">
        <v>4.08</v>
      </c>
      <c r="V766">
        <v>14.32</v>
      </c>
      <c r="W766">
        <v>7249</v>
      </c>
      <c r="X766">
        <v>7765</v>
      </c>
      <c r="Y766">
        <v>0.93</v>
      </c>
      <c r="Z766">
        <v>54</v>
      </c>
      <c r="AA766">
        <v>52</v>
      </c>
      <c r="AB766" t="s">
        <v>31</v>
      </c>
    </row>
    <row r="767" spans="1:28">
      <c r="A767" t="str">
        <f>"600898"</f>
        <v>600898</v>
      </c>
      <c r="B767" t="s">
        <v>931</v>
      </c>
      <c r="C767">
        <v>1.61</v>
      </c>
      <c r="D767">
        <v>5.05</v>
      </c>
      <c r="E767">
        <v>0.08</v>
      </c>
      <c r="F767">
        <v>5.04</v>
      </c>
      <c r="G767">
        <v>5.05</v>
      </c>
      <c r="H767">
        <v>27419</v>
      </c>
      <c r="I767">
        <v>21</v>
      </c>
      <c r="J767">
        <v>0</v>
      </c>
      <c r="K767">
        <v>1.0900000000000001</v>
      </c>
      <c r="L767">
        <v>4.99</v>
      </c>
      <c r="M767">
        <v>5.07</v>
      </c>
      <c r="N767">
        <v>4.9000000000000004</v>
      </c>
      <c r="O767">
        <v>4.97</v>
      </c>
      <c r="P767">
        <v>56.4</v>
      </c>
      <c r="Q767">
        <v>13684845</v>
      </c>
      <c r="R767">
        <v>0.56999999999999995</v>
      </c>
      <c r="S767" t="s">
        <v>932</v>
      </c>
      <c r="T767" t="s">
        <v>57</v>
      </c>
      <c r="U767">
        <v>3.42</v>
      </c>
      <c r="V767">
        <v>4.99</v>
      </c>
      <c r="W767">
        <v>13155</v>
      </c>
      <c r="X767">
        <v>14264</v>
      </c>
      <c r="Y767">
        <v>0.92</v>
      </c>
      <c r="Z767">
        <v>345</v>
      </c>
      <c r="AA767">
        <v>125</v>
      </c>
      <c r="AB767" t="s">
        <v>31</v>
      </c>
    </row>
    <row r="768" spans="1:28">
      <c r="A768" t="str">
        <f>"600900"</f>
        <v>600900</v>
      </c>
      <c r="B768" t="s">
        <v>933</v>
      </c>
      <c r="C768">
        <v>2.1800000000000002</v>
      </c>
      <c r="D768">
        <v>6.56</v>
      </c>
      <c r="E768">
        <v>0.14000000000000001</v>
      </c>
      <c r="F768">
        <v>6.56</v>
      </c>
      <c r="G768">
        <v>6.57</v>
      </c>
      <c r="H768">
        <v>522489</v>
      </c>
      <c r="I768">
        <v>5</v>
      </c>
      <c r="J768">
        <v>0.15</v>
      </c>
      <c r="K768">
        <v>0.54</v>
      </c>
      <c r="L768">
        <v>6.41</v>
      </c>
      <c r="M768">
        <v>6.68</v>
      </c>
      <c r="N768">
        <v>6.38</v>
      </c>
      <c r="O768">
        <v>6.42</v>
      </c>
      <c r="P768">
        <v>19.010000000000002</v>
      </c>
      <c r="Q768">
        <v>342755168</v>
      </c>
      <c r="R768">
        <v>2.23</v>
      </c>
      <c r="S768" t="s">
        <v>179</v>
      </c>
      <c r="T768" t="s">
        <v>42</v>
      </c>
      <c r="U768">
        <v>4.67</v>
      </c>
      <c r="V768">
        <v>6.56</v>
      </c>
      <c r="W768">
        <v>266280</v>
      </c>
      <c r="X768">
        <v>256209</v>
      </c>
      <c r="Y768">
        <v>1.04</v>
      </c>
      <c r="Z768">
        <v>40</v>
      </c>
      <c r="AA768">
        <v>4917</v>
      </c>
      <c r="AB768" t="s">
        <v>31</v>
      </c>
    </row>
    <row r="769" spans="1:28">
      <c r="A769" t="str">
        <f>"600960"</f>
        <v>600960</v>
      </c>
      <c r="B769" t="s">
        <v>934</v>
      </c>
      <c r="C769">
        <v>2.15</v>
      </c>
      <c r="D769">
        <v>6.65</v>
      </c>
      <c r="E769">
        <v>0.14000000000000001</v>
      </c>
      <c r="F769">
        <v>6.63</v>
      </c>
      <c r="G769">
        <v>6.64</v>
      </c>
      <c r="H769">
        <v>7663</v>
      </c>
      <c r="I769">
        <v>2</v>
      </c>
      <c r="J769">
        <v>0.15</v>
      </c>
      <c r="K769">
        <v>0.36</v>
      </c>
      <c r="L769">
        <v>6.53</v>
      </c>
      <c r="M769">
        <v>6.65</v>
      </c>
      <c r="N769">
        <v>6.51</v>
      </c>
      <c r="O769">
        <v>6.51</v>
      </c>
      <c r="P769">
        <v>25.15</v>
      </c>
      <c r="Q769">
        <v>5033047</v>
      </c>
      <c r="R769">
        <v>0.54</v>
      </c>
      <c r="S769" t="s">
        <v>149</v>
      </c>
      <c r="T769" t="s">
        <v>57</v>
      </c>
      <c r="U769">
        <v>2.15</v>
      </c>
      <c r="V769">
        <v>6.57</v>
      </c>
      <c r="W769">
        <v>3005</v>
      </c>
      <c r="X769">
        <v>4658</v>
      </c>
      <c r="Y769">
        <v>0.65</v>
      </c>
      <c r="Z769">
        <v>95</v>
      </c>
      <c r="AA769">
        <v>20</v>
      </c>
      <c r="AB769" t="s">
        <v>31</v>
      </c>
    </row>
    <row r="770" spans="1:28">
      <c r="A770" t="str">
        <f>"600961"</f>
        <v>600961</v>
      </c>
      <c r="B770" t="s">
        <v>935</v>
      </c>
      <c r="C770">
        <v>1.1000000000000001</v>
      </c>
      <c r="D770">
        <v>5.49</v>
      </c>
      <c r="E770">
        <v>0.06</v>
      </c>
      <c r="F770">
        <v>5.48</v>
      </c>
      <c r="G770">
        <v>5.49</v>
      </c>
      <c r="H770">
        <v>7569</v>
      </c>
      <c r="I770">
        <v>1</v>
      </c>
      <c r="J770">
        <v>0.54</v>
      </c>
      <c r="K770">
        <v>0.28999999999999998</v>
      </c>
      <c r="L770">
        <v>5.47</v>
      </c>
      <c r="M770">
        <v>5.49</v>
      </c>
      <c r="N770">
        <v>5.4</v>
      </c>
      <c r="O770">
        <v>5.43</v>
      </c>
      <c r="P770" t="s">
        <v>31</v>
      </c>
      <c r="Q770">
        <v>4126739</v>
      </c>
      <c r="R770">
        <v>0.46</v>
      </c>
      <c r="S770" t="s">
        <v>426</v>
      </c>
      <c r="T770" t="s">
        <v>76</v>
      </c>
      <c r="U770">
        <v>1.66</v>
      </c>
      <c r="V770">
        <v>5.45</v>
      </c>
      <c r="W770">
        <v>2737</v>
      </c>
      <c r="X770">
        <v>4832</v>
      </c>
      <c r="Y770">
        <v>0.56999999999999995</v>
      </c>
      <c r="Z770">
        <v>10</v>
      </c>
      <c r="AA770">
        <v>148</v>
      </c>
      <c r="AB770" t="s">
        <v>31</v>
      </c>
    </row>
    <row r="771" spans="1:28">
      <c r="A771" t="str">
        <f>"600962"</f>
        <v>600962</v>
      </c>
      <c r="B771" t="s">
        <v>936</v>
      </c>
      <c r="C771">
        <v>0.51</v>
      </c>
      <c r="D771">
        <v>5.87</v>
      </c>
      <c r="E771">
        <v>0.03</v>
      </c>
      <c r="F771">
        <v>5.86</v>
      </c>
      <c r="G771">
        <v>5.89</v>
      </c>
      <c r="H771">
        <v>14094</v>
      </c>
      <c r="I771">
        <v>50</v>
      </c>
      <c r="J771">
        <v>-0.33</v>
      </c>
      <c r="K771">
        <v>0.55000000000000004</v>
      </c>
      <c r="L771">
        <v>5.8</v>
      </c>
      <c r="M771">
        <v>5.92</v>
      </c>
      <c r="N771">
        <v>5.77</v>
      </c>
      <c r="O771">
        <v>5.84</v>
      </c>
      <c r="P771" t="s">
        <v>31</v>
      </c>
      <c r="Q771">
        <v>8245721</v>
      </c>
      <c r="R771">
        <v>0.68</v>
      </c>
      <c r="S771" t="s">
        <v>393</v>
      </c>
      <c r="T771" t="s">
        <v>42</v>
      </c>
      <c r="U771">
        <v>2.57</v>
      </c>
      <c r="V771">
        <v>5.85</v>
      </c>
      <c r="W771">
        <v>7593</v>
      </c>
      <c r="X771">
        <v>6501</v>
      </c>
      <c r="Y771">
        <v>1.17</v>
      </c>
      <c r="Z771">
        <v>42</v>
      </c>
      <c r="AA771">
        <v>1</v>
      </c>
      <c r="AB771" t="s">
        <v>31</v>
      </c>
    </row>
    <row r="772" spans="1:28">
      <c r="A772" t="str">
        <f>"600963"</f>
        <v>600963</v>
      </c>
      <c r="B772" t="s">
        <v>937</v>
      </c>
      <c r="C772">
        <v>3.85</v>
      </c>
      <c r="D772">
        <v>4.05</v>
      </c>
      <c r="E772">
        <v>0.15</v>
      </c>
      <c r="F772">
        <v>4.04</v>
      </c>
      <c r="G772">
        <v>4.05</v>
      </c>
      <c r="H772">
        <v>531504</v>
      </c>
      <c r="I772">
        <v>18</v>
      </c>
      <c r="J772">
        <v>0.24</v>
      </c>
      <c r="K772">
        <v>6.3</v>
      </c>
      <c r="L772">
        <v>3.99</v>
      </c>
      <c r="M772">
        <v>4.1900000000000004</v>
      </c>
      <c r="N772">
        <v>3.98</v>
      </c>
      <c r="O772">
        <v>3.9</v>
      </c>
      <c r="P772" t="s">
        <v>31</v>
      </c>
      <c r="Q772">
        <v>216851344</v>
      </c>
      <c r="R772">
        <v>1.64</v>
      </c>
      <c r="S772" t="s">
        <v>125</v>
      </c>
      <c r="T772" t="s">
        <v>76</v>
      </c>
      <c r="U772">
        <v>5.38</v>
      </c>
      <c r="V772">
        <v>4.08</v>
      </c>
      <c r="W772">
        <v>225509</v>
      </c>
      <c r="X772">
        <v>305995</v>
      </c>
      <c r="Y772">
        <v>0.74</v>
      </c>
      <c r="Z772">
        <v>1343</v>
      </c>
      <c r="AA772">
        <v>341</v>
      </c>
      <c r="AB772" t="s">
        <v>31</v>
      </c>
    </row>
    <row r="773" spans="1:28">
      <c r="A773" t="str">
        <f>"600965"</f>
        <v>600965</v>
      </c>
      <c r="B773" t="s">
        <v>938</v>
      </c>
      <c r="C773">
        <v>1.33</v>
      </c>
      <c r="D773">
        <v>6.08</v>
      </c>
      <c r="E773">
        <v>0.08</v>
      </c>
      <c r="F773">
        <v>6.07</v>
      </c>
      <c r="G773">
        <v>6.08</v>
      </c>
      <c r="H773">
        <v>28038</v>
      </c>
      <c r="I773">
        <v>26</v>
      </c>
      <c r="J773">
        <v>0.16</v>
      </c>
      <c r="K773">
        <v>1</v>
      </c>
      <c r="L773">
        <v>6.02</v>
      </c>
      <c r="M773">
        <v>6.12</v>
      </c>
      <c r="N773">
        <v>5.98</v>
      </c>
      <c r="O773">
        <v>6</v>
      </c>
      <c r="P773">
        <v>26.58</v>
      </c>
      <c r="Q773">
        <v>16976306</v>
      </c>
      <c r="R773">
        <v>0.39</v>
      </c>
      <c r="S773" t="s">
        <v>187</v>
      </c>
      <c r="T773" t="s">
        <v>224</v>
      </c>
      <c r="U773">
        <v>2.33</v>
      </c>
      <c r="V773">
        <v>6.05</v>
      </c>
      <c r="W773">
        <v>15236</v>
      </c>
      <c r="X773">
        <v>12802</v>
      </c>
      <c r="Y773">
        <v>1.19</v>
      </c>
      <c r="Z773">
        <v>324</v>
      </c>
      <c r="AA773">
        <v>114</v>
      </c>
      <c r="AB773" t="s">
        <v>31</v>
      </c>
    </row>
    <row r="774" spans="1:28">
      <c r="A774" t="str">
        <f>"600966"</f>
        <v>600966</v>
      </c>
      <c r="B774" t="s">
        <v>939</v>
      </c>
      <c r="C774">
        <v>1.95</v>
      </c>
      <c r="D774">
        <v>4.7</v>
      </c>
      <c r="E774">
        <v>0.09</v>
      </c>
      <c r="F774">
        <v>4.6900000000000004</v>
      </c>
      <c r="G774">
        <v>4.7</v>
      </c>
      <c r="H774">
        <v>16968</v>
      </c>
      <c r="I774">
        <v>160</v>
      </c>
      <c r="J774">
        <v>0.21</v>
      </c>
      <c r="K774">
        <v>0.34</v>
      </c>
      <c r="L774">
        <v>4.6100000000000003</v>
      </c>
      <c r="M774">
        <v>4.7</v>
      </c>
      <c r="N774">
        <v>4.58</v>
      </c>
      <c r="O774">
        <v>4.6100000000000003</v>
      </c>
      <c r="P774">
        <v>496.36</v>
      </c>
      <c r="Q774">
        <v>7875882</v>
      </c>
      <c r="R774">
        <v>0.71</v>
      </c>
      <c r="S774" t="s">
        <v>125</v>
      </c>
      <c r="T774" t="s">
        <v>57</v>
      </c>
      <c r="U774">
        <v>2.6</v>
      </c>
      <c r="V774">
        <v>4.6399999999999997</v>
      </c>
      <c r="W774">
        <v>7461</v>
      </c>
      <c r="X774">
        <v>9507</v>
      </c>
      <c r="Y774">
        <v>0.78</v>
      </c>
      <c r="Z774">
        <v>222</v>
      </c>
      <c r="AA774">
        <v>117</v>
      </c>
      <c r="AB774" t="s">
        <v>31</v>
      </c>
    </row>
    <row r="775" spans="1:28">
      <c r="A775" t="str">
        <f>"600967"</f>
        <v>600967</v>
      </c>
      <c r="B775" t="s">
        <v>940</v>
      </c>
      <c r="C775">
        <v>2.64</v>
      </c>
      <c r="D775">
        <v>15.14</v>
      </c>
      <c r="E775">
        <v>0.39</v>
      </c>
      <c r="F775">
        <v>15.13</v>
      </c>
      <c r="G775">
        <v>15.15</v>
      </c>
      <c r="H775">
        <v>116135</v>
      </c>
      <c r="I775">
        <v>10</v>
      </c>
      <c r="J775">
        <v>0.06</v>
      </c>
      <c r="K775">
        <v>3.35</v>
      </c>
      <c r="L775">
        <v>14.65</v>
      </c>
      <c r="M775">
        <v>15.44</v>
      </c>
      <c r="N775">
        <v>14.23</v>
      </c>
      <c r="O775">
        <v>14.75</v>
      </c>
      <c r="P775">
        <v>24.06</v>
      </c>
      <c r="Q775">
        <v>171821104</v>
      </c>
      <c r="R775">
        <v>0.67</v>
      </c>
      <c r="S775" t="s">
        <v>556</v>
      </c>
      <c r="T775" t="s">
        <v>47</v>
      </c>
      <c r="U775">
        <v>8.1999999999999993</v>
      </c>
      <c r="V775">
        <v>14.79</v>
      </c>
      <c r="W775">
        <v>55378</v>
      </c>
      <c r="X775">
        <v>60757</v>
      </c>
      <c r="Y775">
        <v>0.91</v>
      </c>
      <c r="Z775">
        <v>4</v>
      </c>
      <c r="AA775">
        <v>167</v>
      </c>
      <c r="AB775" t="s">
        <v>31</v>
      </c>
    </row>
    <row r="776" spans="1:28">
      <c r="A776" t="str">
        <f>"600969"</f>
        <v>600969</v>
      </c>
      <c r="B776" t="s">
        <v>941</v>
      </c>
      <c r="C776">
        <v>3.65</v>
      </c>
      <c r="D776">
        <v>11.94</v>
      </c>
      <c r="E776">
        <v>0.42</v>
      </c>
      <c r="F776">
        <v>11.92</v>
      </c>
      <c r="G776">
        <v>11.95</v>
      </c>
      <c r="H776">
        <v>38818</v>
      </c>
      <c r="I776">
        <v>10</v>
      </c>
      <c r="J776">
        <v>0.57999999999999996</v>
      </c>
      <c r="K776">
        <v>1.85</v>
      </c>
      <c r="L776">
        <v>11.5</v>
      </c>
      <c r="M776">
        <v>12.18</v>
      </c>
      <c r="N776">
        <v>11.33</v>
      </c>
      <c r="O776">
        <v>11.52</v>
      </c>
      <c r="P776">
        <v>24.6</v>
      </c>
      <c r="Q776">
        <v>45819416</v>
      </c>
      <c r="R776">
        <v>2.79</v>
      </c>
      <c r="S776" t="s">
        <v>179</v>
      </c>
      <c r="T776" t="s">
        <v>76</v>
      </c>
      <c r="U776">
        <v>7.38</v>
      </c>
      <c r="V776">
        <v>11.8</v>
      </c>
      <c r="W776">
        <v>11763</v>
      </c>
      <c r="X776">
        <v>27055</v>
      </c>
      <c r="Y776">
        <v>0.43</v>
      </c>
      <c r="Z776">
        <v>5</v>
      </c>
      <c r="AA776">
        <v>11</v>
      </c>
      <c r="AB776" t="s">
        <v>31</v>
      </c>
    </row>
    <row r="777" spans="1:28">
      <c r="A777" t="str">
        <f>"600970"</f>
        <v>600970</v>
      </c>
      <c r="B777" t="s">
        <v>942</v>
      </c>
      <c r="C777">
        <v>1.1100000000000001</v>
      </c>
      <c r="D777">
        <v>8.18</v>
      </c>
      <c r="E777">
        <v>0.09</v>
      </c>
      <c r="F777">
        <v>8.18</v>
      </c>
      <c r="G777">
        <v>8.19</v>
      </c>
      <c r="H777">
        <v>56455</v>
      </c>
      <c r="I777">
        <v>13</v>
      </c>
      <c r="J777">
        <v>0</v>
      </c>
      <c r="K777">
        <v>0.52</v>
      </c>
      <c r="L777">
        <v>8.09</v>
      </c>
      <c r="M777">
        <v>8.19</v>
      </c>
      <c r="N777">
        <v>8.0299999999999994</v>
      </c>
      <c r="O777">
        <v>8.09</v>
      </c>
      <c r="P777">
        <v>10.64</v>
      </c>
      <c r="Q777">
        <v>45747508</v>
      </c>
      <c r="R777">
        <v>0.8</v>
      </c>
      <c r="S777" t="s">
        <v>87</v>
      </c>
      <c r="T777" t="s">
        <v>120</v>
      </c>
      <c r="U777">
        <v>1.98</v>
      </c>
      <c r="V777">
        <v>8.1</v>
      </c>
      <c r="W777">
        <v>30812</v>
      </c>
      <c r="X777">
        <v>25643</v>
      </c>
      <c r="Y777">
        <v>1.2</v>
      </c>
      <c r="Z777">
        <v>487</v>
      </c>
      <c r="AA777">
        <v>143</v>
      </c>
      <c r="AB777" t="s">
        <v>31</v>
      </c>
    </row>
    <row r="778" spans="1:28">
      <c r="A778" t="str">
        <f>"600971"</f>
        <v>600971</v>
      </c>
      <c r="B778" t="s">
        <v>943</v>
      </c>
      <c r="C778">
        <v>1.46</v>
      </c>
      <c r="D778">
        <v>7.63</v>
      </c>
      <c r="E778">
        <v>0.11</v>
      </c>
      <c r="F778">
        <v>7.63</v>
      </c>
      <c r="G778">
        <v>7.64</v>
      </c>
      <c r="H778">
        <v>42027</v>
      </c>
      <c r="I778">
        <v>10</v>
      </c>
      <c r="J778">
        <v>0.26</v>
      </c>
      <c r="K778">
        <v>0.42</v>
      </c>
      <c r="L778">
        <v>7.6</v>
      </c>
      <c r="M778">
        <v>7.7</v>
      </c>
      <c r="N778">
        <v>7.51</v>
      </c>
      <c r="O778">
        <v>7.52</v>
      </c>
      <c r="P778">
        <v>33.49</v>
      </c>
      <c r="Q778">
        <v>31972240</v>
      </c>
      <c r="R778">
        <v>0.68</v>
      </c>
      <c r="S778" t="s">
        <v>208</v>
      </c>
      <c r="T778" t="s">
        <v>52</v>
      </c>
      <c r="U778">
        <v>2.5299999999999998</v>
      </c>
      <c r="V778">
        <v>7.61</v>
      </c>
      <c r="W778">
        <v>22104</v>
      </c>
      <c r="X778">
        <v>19923</v>
      </c>
      <c r="Y778">
        <v>1.1100000000000001</v>
      </c>
      <c r="Z778">
        <v>101</v>
      </c>
      <c r="AA778">
        <v>357</v>
      </c>
      <c r="AB778" t="s">
        <v>31</v>
      </c>
    </row>
    <row r="779" spans="1:28">
      <c r="A779" t="str">
        <f>"600973"</f>
        <v>600973</v>
      </c>
      <c r="B779" t="s">
        <v>944</v>
      </c>
      <c r="C779">
        <v>-0.14000000000000001</v>
      </c>
      <c r="D779">
        <v>6.89</v>
      </c>
      <c r="E779">
        <v>-0.01</v>
      </c>
      <c r="F779">
        <v>6.89</v>
      </c>
      <c r="G779">
        <v>6.9</v>
      </c>
      <c r="H779">
        <v>53159</v>
      </c>
      <c r="I779">
        <v>53</v>
      </c>
      <c r="J779">
        <v>0</v>
      </c>
      <c r="K779">
        <v>1.31</v>
      </c>
      <c r="L779">
        <v>6.87</v>
      </c>
      <c r="M779">
        <v>6.98</v>
      </c>
      <c r="N779">
        <v>6.71</v>
      </c>
      <c r="O779">
        <v>6.9</v>
      </c>
      <c r="P779">
        <v>33.99</v>
      </c>
      <c r="Q779">
        <v>36417984</v>
      </c>
      <c r="R779">
        <v>0.48</v>
      </c>
      <c r="S779" t="s">
        <v>161</v>
      </c>
      <c r="T779" t="s">
        <v>120</v>
      </c>
      <c r="U779">
        <v>3.91</v>
      </c>
      <c r="V779">
        <v>6.85</v>
      </c>
      <c r="W779">
        <v>27636</v>
      </c>
      <c r="X779">
        <v>25523</v>
      </c>
      <c r="Y779">
        <v>1.08</v>
      </c>
      <c r="Z779">
        <v>140</v>
      </c>
      <c r="AA779">
        <v>454</v>
      </c>
      <c r="AB779" t="s">
        <v>31</v>
      </c>
    </row>
    <row r="780" spans="1:28">
      <c r="A780" t="str">
        <f>"600975"</f>
        <v>600975</v>
      </c>
      <c r="B780" t="s">
        <v>945</v>
      </c>
      <c r="C780">
        <v>0.5</v>
      </c>
      <c r="D780">
        <v>6.09</v>
      </c>
      <c r="E780">
        <v>0.03</v>
      </c>
      <c r="F780">
        <v>6.08</v>
      </c>
      <c r="G780">
        <v>6.09</v>
      </c>
      <c r="H780">
        <v>27746</v>
      </c>
      <c r="I780">
        <v>5</v>
      </c>
      <c r="J780">
        <v>0.16</v>
      </c>
      <c r="K780">
        <v>1.18</v>
      </c>
      <c r="L780">
        <v>6.07</v>
      </c>
      <c r="M780">
        <v>6.1</v>
      </c>
      <c r="N780">
        <v>5.99</v>
      </c>
      <c r="O780">
        <v>6.06</v>
      </c>
      <c r="P780">
        <v>162.51</v>
      </c>
      <c r="Q780">
        <v>16789960</v>
      </c>
      <c r="R780">
        <v>0.65</v>
      </c>
      <c r="S780" t="s">
        <v>187</v>
      </c>
      <c r="T780" t="s">
        <v>76</v>
      </c>
      <c r="U780">
        <v>1.82</v>
      </c>
      <c r="V780">
        <v>6.05</v>
      </c>
      <c r="W780">
        <v>13397</v>
      </c>
      <c r="X780">
        <v>14349</v>
      </c>
      <c r="Y780">
        <v>0.93</v>
      </c>
      <c r="Z780">
        <v>152</v>
      </c>
      <c r="AA780">
        <v>24</v>
      </c>
      <c r="AB780" t="s">
        <v>31</v>
      </c>
    </row>
    <row r="781" spans="1:28">
      <c r="A781" t="str">
        <f>"600976"</f>
        <v>600976</v>
      </c>
      <c r="B781" t="s">
        <v>946</v>
      </c>
      <c r="C781">
        <v>0.6</v>
      </c>
      <c r="D781">
        <v>20.28</v>
      </c>
      <c r="E781">
        <v>0.12</v>
      </c>
      <c r="F781">
        <v>20.27</v>
      </c>
      <c r="G781">
        <v>20.28</v>
      </c>
      <c r="H781">
        <v>11957</v>
      </c>
      <c r="I781">
        <v>6</v>
      </c>
      <c r="J781">
        <v>0</v>
      </c>
      <c r="K781">
        <v>0.78</v>
      </c>
      <c r="L781">
        <v>20.079999999999998</v>
      </c>
      <c r="M781">
        <v>20.55</v>
      </c>
      <c r="N781">
        <v>20.079999999999998</v>
      </c>
      <c r="O781">
        <v>20.16</v>
      </c>
      <c r="P781">
        <v>29.02</v>
      </c>
      <c r="Q781">
        <v>24291424</v>
      </c>
      <c r="R781">
        <v>0.44</v>
      </c>
      <c r="S781" t="s">
        <v>156</v>
      </c>
      <c r="T781" t="s">
        <v>37</v>
      </c>
      <c r="U781">
        <v>2.33</v>
      </c>
      <c r="V781">
        <v>20.32</v>
      </c>
      <c r="W781">
        <v>5891</v>
      </c>
      <c r="X781">
        <v>6066</v>
      </c>
      <c r="Y781">
        <v>0.97</v>
      </c>
      <c r="Z781">
        <v>12</v>
      </c>
      <c r="AA781">
        <v>4</v>
      </c>
      <c r="AB781" t="s">
        <v>31</v>
      </c>
    </row>
    <row r="782" spans="1:28">
      <c r="A782" t="str">
        <f>"600978"</f>
        <v>600978</v>
      </c>
      <c r="B782" t="s">
        <v>947</v>
      </c>
      <c r="C782">
        <v>0.37</v>
      </c>
      <c r="D782">
        <v>5.4</v>
      </c>
      <c r="E782">
        <v>0.02</v>
      </c>
      <c r="F782">
        <v>5.39</v>
      </c>
      <c r="G782">
        <v>5.4</v>
      </c>
      <c r="H782">
        <v>161932</v>
      </c>
      <c r="I782">
        <v>20</v>
      </c>
      <c r="J782">
        <v>0.18</v>
      </c>
      <c r="K782">
        <v>1.41</v>
      </c>
      <c r="L782">
        <v>5.38</v>
      </c>
      <c r="M782">
        <v>5.44</v>
      </c>
      <c r="N782">
        <v>5.28</v>
      </c>
      <c r="O782">
        <v>5.38</v>
      </c>
      <c r="P782">
        <v>12.87</v>
      </c>
      <c r="Q782">
        <v>87132240</v>
      </c>
      <c r="R782">
        <v>1.03</v>
      </c>
      <c r="S782" t="s">
        <v>432</v>
      </c>
      <c r="T782" t="s">
        <v>34</v>
      </c>
      <c r="U782">
        <v>2.97</v>
      </c>
      <c r="V782">
        <v>5.38</v>
      </c>
      <c r="W782">
        <v>70497</v>
      </c>
      <c r="X782">
        <v>91435</v>
      </c>
      <c r="Y782">
        <v>0.77</v>
      </c>
      <c r="Z782">
        <v>628</v>
      </c>
      <c r="AA782">
        <v>201</v>
      </c>
      <c r="AB782" t="s">
        <v>31</v>
      </c>
    </row>
    <row r="783" spans="1:28">
      <c r="A783" t="str">
        <f>"600979"</f>
        <v>600979</v>
      </c>
      <c r="B783" t="s">
        <v>948</v>
      </c>
      <c r="C783">
        <v>2.52</v>
      </c>
      <c r="D783">
        <v>5.7</v>
      </c>
      <c r="E783">
        <v>0.14000000000000001</v>
      </c>
      <c r="F783">
        <v>5.69</v>
      </c>
      <c r="G783">
        <v>5.7</v>
      </c>
      <c r="H783">
        <v>108477</v>
      </c>
      <c r="I783">
        <v>29</v>
      </c>
      <c r="J783">
        <v>0</v>
      </c>
      <c r="K783">
        <v>1.83</v>
      </c>
      <c r="L783">
        <v>5.5</v>
      </c>
      <c r="M783">
        <v>5.79</v>
      </c>
      <c r="N783">
        <v>5.46</v>
      </c>
      <c r="O783">
        <v>5.56</v>
      </c>
      <c r="P783">
        <v>54.54</v>
      </c>
      <c r="Q783">
        <v>61758524</v>
      </c>
      <c r="R783">
        <v>0.61</v>
      </c>
      <c r="S783" t="s">
        <v>179</v>
      </c>
      <c r="T783" t="s">
        <v>88</v>
      </c>
      <c r="U783">
        <v>5.94</v>
      </c>
      <c r="V783">
        <v>5.69</v>
      </c>
      <c r="W783">
        <v>55409</v>
      </c>
      <c r="X783">
        <v>53068</v>
      </c>
      <c r="Y783">
        <v>1.04</v>
      </c>
      <c r="Z783">
        <v>40</v>
      </c>
      <c r="AA783">
        <v>237</v>
      </c>
      <c r="AB783" t="s">
        <v>31</v>
      </c>
    </row>
    <row r="784" spans="1:28">
      <c r="A784" t="str">
        <f>"600980"</f>
        <v>600980</v>
      </c>
      <c r="B784" t="s">
        <v>949</v>
      </c>
      <c r="C784">
        <v>-0.09</v>
      </c>
      <c r="D784">
        <v>10.7</v>
      </c>
      <c r="E784">
        <v>-0.01</v>
      </c>
      <c r="F784">
        <v>10.69</v>
      </c>
      <c r="G784">
        <v>10.7</v>
      </c>
      <c r="H784">
        <v>13056</v>
      </c>
      <c r="I784">
        <v>5</v>
      </c>
      <c r="J784">
        <v>0.09</v>
      </c>
      <c r="K784">
        <v>1</v>
      </c>
      <c r="L784">
        <v>10.55</v>
      </c>
      <c r="M784">
        <v>10.73</v>
      </c>
      <c r="N784">
        <v>10.55</v>
      </c>
      <c r="O784">
        <v>10.71</v>
      </c>
      <c r="P784">
        <v>62.67</v>
      </c>
      <c r="Q784">
        <v>13911957</v>
      </c>
      <c r="R784">
        <v>0.57999999999999996</v>
      </c>
      <c r="S784" t="s">
        <v>153</v>
      </c>
      <c r="T784" t="s">
        <v>42</v>
      </c>
      <c r="U784">
        <v>1.68</v>
      </c>
      <c r="V784">
        <v>10.66</v>
      </c>
      <c r="W784">
        <v>7522</v>
      </c>
      <c r="X784">
        <v>5534</v>
      </c>
      <c r="Y784">
        <v>1.36</v>
      </c>
      <c r="Z784">
        <v>28</v>
      </c>
      <c r="AA784">
        <v>50</v>
      </c>
      <c r="AB784" t="s">
        <v>31</v>
      </c>
    </row>
    <row r="785" spans="1:28">
      <c r="A785" t="str">
        <f>"600981"</f>
        <v>600981</v>
      </c>
      <c r="B785" t="s">
        <v>950</v>
      </c>
      <c r="C785">
        <v>1.01</v>
      </c>
      <c r="D785">
        <v>3.99</v>
      </c>
      <c r="E785">
        <v>0.04</v>
      </c>
      <c r="F785">
        <v>3.98</v>
      </c>
      <c r="G785">
        <v>3.99</v>
      </c>
      <c r="H785">
        <v>29945</v>
      </c>
      <c r="I785">
        <v>199</v>
      </c>
      <c r="J785">
        <v>0.75</v>
      </c>
      <c r="K785">
        <v>0.57999999999999996</v>
      </c>
      <c r="L785">
        <v>3.93</v>
      </c>
      <c r="M785">
        <v>4</v>
      </c>
      <c r="N785">
        <v>3.9</v>
      </c>
      <c r="O785">
        <v>3.95</v>
      </c>
      <c r="P785">
        <v>62.52</v>
      </c>
      <c r="Q785">
        <v>11899500</v>
      </c>
      <c r="R785">
        <v>1.0900000000000001</v>
      </c>
      <c r="S785" t="s">
        <v>109</v>
      </c>
      <c r="T785" t="s">
        <v>120</v>
      </c>
      <c r="U785">
        <v>2.5299999999999998</v>
      </c>
      <c r="V785">
        <v>3.97</v>
      </c>
      <c r="W785">
        <v>8654</v>
      </c>
      <c r="X785">
        <v>21291</v>
      </c>
      <c r="Y785">
        <v>0.41</v>
      </c>
      <c r="Z785">
        <v>30</v>
      </c>
      <c r="AA785">
        <v>457</v>
      </c>
      <c r="AB785" t="s">
        <v>31</v>
      </c>
    </row>
    <row r="786" spans="1:28">
      <c r="A786" t="str">
        <f>"600982"</f>
        <v>600982</v>
      </c>
      <c r="B786" t="s">
        <v>951</v>
      </c>
      <c r="C786">
        <v>3.82</v>
      </c>
      <c r="D786">
        <v>11.13</v>
      </c>
      <c r="E786">
        <v>0.41</v>
      </c>
      <c r="F786">
        <v>11.13</v>
      </c>
      <c r="G786">
        <v>11.14</v>
      </c>
      <c r="H786">
        <v>18171</v>
      </c>
      <c r="I786">
        <v>10</v>
      </c>
      <c r="J786">
        <v>0.27</v>
      </c>
      <c r="K786">
        <v>1.08</v>
      </c>
      <c r="L786">
        <v>10.7</v>
      </c>
      <c r="M786">
        <v>11.25</v>
      </c>
      <c r="N786">
        <v>10.56</v>
      </c>
      <c r="O786">
        <v>10.72</v>
      </c>
      <c r="P786">
        <v>29.85</v>
      </c>
      <c r="Q786">
        <v>19986136</v>
      </c>
      <c r="R786">
        <v>2.52</v>
      </c>
      <c r="S786" t="s">
        <v>257</v>
      </c>
      <c r="T786" t="s">
        <v>95</v>
      </c>
      <c r="U786">
        <v>6.44</v>
      </c>
      <c r="V786">
        <v>11</v>
      </c>
      <c r="W786">
        <v>8149</v>
      </c>
      <c r="X786">
        <v>10022</v>
      </c>
      <c r="Y786">
        <v>0.81</v>
      </c>
      <c r="Z786">
        <v>50</v>
      </c>
      <c r="AA786">
        <v>41</v>
      </c>
      <c r="AB786" t="s">
        <v>31</v>
      </c>
    </row>
    <row r="787" spans="1:28">
      <c r="A787" t="str">
        <f>"600983"</f>
        <v>600983</v>
      </c>
      <c r="B787" t="s">
        <v>952</v>
      </c>
      <c r="C787">
        <v>4.74</v>
      </c>
      <c r="D787">
        <v>11.5</v>
      </c>
      <c r="E787">
        <v>0.52</v>
      </c>
      <c r="F787">
        <v>11.49</v>
      </c>
      <c r="G787">
        <v>11.5</v>
      </c>
      <c r="H787">
        <v>44472</v>
      </c>
      <c r="I787">
        <v>103</v>
      </c>
      <c r="J787">
        <v>0</v>
      </c>
      <c r="K787">
        <v>0.83</v>
      </c>
      <c r="L787">
        <v>10.9</v>
      </c>
      <c r="M787">
        <v>11.6</v>
      </c>
      <c r="N787">
        <v>10.88</v>
      </c>
      <c r="O787">
        <v>10.98</v>
      </c>
      <c r="P787">
        <v>14.24</v>
      </c>
      <c r="Q787">
        <v>50577696</v>
      </c>
      <c r="R787">
        <v>0.94</v>
      </c>
      <c r="S787" t="s">
        <v>113</v>
      </c>
      <c r="T787" t="s">
        <v>52</v>
      </c>
      <c r="U787">
        <v>6.56</v>
      </c>
      <c r="V787">
        <v>11.37</v>
      </c>
      <c r="W787">
        <v>17584</v>
      </c>
      <c r="X787">
        <v>26888</v>
      </c>
      <c r="Y787">
        <v>0.65</v>
      </c>
      <c r="Z787">
        <v>1271</v>
      </c>
      <c r="AA787">
        <v>36</v>
      </c>
      <c r="AB787" t="s">
        <v>31</v>
      </c>
    </row>
    <row r="788" spans="1:28">
      <c r="A788" t="str">
        <f>"600984"</f>
        <v>600984</v>
      </c>
      <c r="B788" t="s">
        <v>953</v>
      </c>
      <c r="C788">
        <v>1.75</v>
      </c>
      <c r="D788">
        <v>5.81</v>
      </c>
      <c r="E788">
        <v>0.1</v>
      </c>
      <c r="F788">
        <v>5.78</v>
      </c>
      <c r="G788">
        <v>5.81</v>
      </c>
      <c r="H788">
        <v>6519</v>
      </c>
      <c r="I788">
        <v>100</v>
      </c>
      <c r="J788">
        <v>0.17</v>
      </c>
      <c r="K788">
        <v>0.46</v>
      </c>
      <c r="L788">
        <v>5.68</v>
      </c>
      <c r="M788">
        <v>5.82</v>
      </c>
      <c r="N788">
        <v>5.65</v>
      </c>
      <c r="O788">
        <v>5.71</v>
      </c>
      <c r="P788" t="s">
        <v>31</v>
      </c>
      <c r="Q788">
        <v>3744741</v>
      </c>
      <c r="R788">
        <v>0.49</v>
      </c>
      <c r="S788" t="s">
        <v>75</v>
      </c>
      <c r="T788" t="s">
        <v>147</v>
      </c>
      <c r="U788">
        <v>2.98</v>
      </c>
      <c r="V788">
        <v>5.74</v>
      </c>
      <c r="W788">
        <v>2490</v>
      </c>
      <c r="X788">
        <v>4029</v>
      </c>
      <c r="Y788">
        <v>0.62</v>
      </c>
      <c r="Z788">
        <v>15</v>
      </c>
      <c r="AA788">
        <v>99</v>
      </c>
      <c r="AB788" t="s">
        <v>31</v>
      </c>
    </row>
    <row r="789" spans="1:28">
      <c r="A789" t="str">
        <f>"600985"</f>
        <v>600985</v>
      </c>
      <c r="B789" t="s">
        <v>954</v>
      </c>
      <c r="C789">
        <v>1.31</v>
      </c>
      <c r="D789">
        <v>11.64</v>
      </c>
      <c r="E789">
        <v>0.15</v>
      </c>
      <c r="F789">
        <v>11.63</v>
      </c>
      <c r="G789">
        <v>11.65</v>
      </c>
      <c r="H789">
        <v>12699</v>
      </c>
      <c r="I789">
        <v>20</v>
      </c>
      <c r="J789">
        <v>0.25</v>
      </c>
      <c r="K789">
        <v>0.98</v>
      </c>
      <c r="L789">
        <v>11.49</v>
      </c>
      <c r="M789">
        <v>11.7</v>
      </c>
      <c r="N789">
        <v>11.45</v>
      </c>
      <c r="O789">
        <v>11.49</v>
      </c>
      <c r="P789">
        <v>22.78</v>
      </c>
      <c r="Q789">
        <v>14693686</v>
      </c>
      <c r="R789">
        <v>0.46</v>
      </c>
      <c r="S789" t="s">
        <v>137</v>
      </c>
      <c r="T789" t="s">
        <v>52</v>
      </c>
      <c r="U789">
        <v>2.1800000000000002</v>
      </c>
      <c r="V789">
        <v>11.57</v>
      </c>
      <c r="W789">
        <v>5820</v>
      </c>
      <c r="X789">
        <v>6879</v>
      </c>
      <c r="Y789">
        <v>0.85</v>
      </c>
      <c r="Z789">
        <v>40</v>
      </c>
      <c r="AA789">
        <v>20</v>
      </c>
      <c r="AB789" t="s">
        <v>31</v>
      </c>
    </row>
    <row r="790" spans="1:28">
      <c r="A790" t="str">
        <f>"600986"</f>
        <v>600986</v>
      </c>
      <c r="B790" t="s">
        <v>955</v>
      </c>
      <c r="C790">
        <v>1.56</v>
      </c>
      <c r="D790">
        <v>4.57</v>
      </c>
      <c r="E790">
        <v>7.0000000000000007E-2</v>
      </c>
      <c r="F790">
        <v>4.57</v>
      </c>
      <c r="G790">
        <v>4.58</v>
      </c>
      <c r="H790">
        <v>21859</v>
      </c>
      <c r="I790">
        <v>6</v>
      </c>
      <c r="J790">
        <v>0</v>
      </c>
      <c r="K790">
        <v>0.65</v>
      </c>
      <c r="L790">
        <v>4.51</v>
      </c>
      <c r="M790">
        <v>4.57</v>
      </c>
      <c r="N790">
        <v>4.4800000000000004</v>
      </c>
      <c r="O790">
        <v>4.5</v>
      </c>
      <c r="P790">
        <v>33.520000000000003</v>
      </c>
      <c r="Q790">
        <v>9926963</v>
      </c>
      <c r="R790">
        <v>0.44</v>
      </c>
      <c r="S790" t="s">
        <v>87</v>
      </c>
      <c r="T790" t="s">
        <v>57</v>
      </c>
      <c r="U790">
        <v>2</v>
      </c>
      <c r="V790">
        <v>4.54</v>
      </c>
      <c r="W790">
        <v>9586</v>
      </c>
      <c r="X790">
        <v>12273</v>
      </c>
      <c r="Y790">
        <v>0.78</v>
      </c>
      <c r="Z790">
        <v>166</v>
      </c>
      <c r="AA790">
        <v>590</v>
      </c>
      <c r="AB790" t="s">
        <v>31</v>
      </c>
    </row>
    <row r="791" spans="1:28">
      <c r="A791" t="str">
        <f>"600987"</f>
        <v>600987</v>
      </c>
      <c r="B791" t="s">
        <v>956</v>
      </c>
      <c r="C791">
        <v>2.86</v>
      </c>
      <c r="D791">
        <v>5.75</v>
      </c>
      <c r="E791">
        <v>0.16</v>
      </c>
      <c r="F791">
        <v>5.73</v>
      </c>
      <c r="G791">
        <v>5.74</v>
      </c>
      <c r="H791">
        <v>51301</v>
      </c>
      <c r="I791">
        <v>3</v>
      </c>
      <c r="J791">
        <v>0.17</v>
      </c>
      <c r="K791">
        <v>0.81</v>
      </c>
      <c r="L791">
        <v>5.6</v>
      </c>
      <c r="M791">
        <v>5.81</v>
      </c>
      <c r="N791">
        <v>5.54</v>
      </c>
      <c r="O791">
        <v>5.59</v>
      </c>
      <c r="P791">
        <v>12.1</v>
      </c>
      <c r="Q791">
        <v>29147436</v>
      </c>
      <c r="R791">
        <v>1.03</v>
      </c>
      <c r="S791" t="s">
        <v>127</v>
      </c>
      <c r="T791" t="s">
        <v>95</v>
      </c>
      <c r="U791">
        <v>4.83</v>
      </c>
      <c r="V791">
        <v>5.68</v>
      </c>
      <c r="W791">
        <v>25115</v>
      </c>
      <c r="X791">
        <v>26186</v>
      </c>
      <c r="Y791">
        <v>0.96</v>
      </c>
      <c r="Z791">
        <v>483</v>
      </c>
      <c r="AA791">
        <v>2</v>
      </c>
      <c r="AB791" t="s">
        <v>31</v>
      </c>
    </row>
    <row r="792" spans="1:28">
      <c r="A792" t="str">
        <f>"600988"</f>
        <v>600988</v>
      </c>
      <c r="B792" t="s">
        <v>957</v>
      </c>
      <c r="C792">
        <v>2.4900000000000002</v>
      </c>
      <c r="D792">
        <v>13.58</v>
      </c>
      <c r="E792">
        <v>0.33</v>
      </c>
      <c r="F792">
        <v>13.57</v>
      </c>
      <c r="G792">
        <v>13.58</v>
      </c>
      <c r="H792">
        <v>25017</v>
      </c>
      <c r="I792">
        <v>30</v>
      </c>
      <c r="J792">
        <v>0.22</v>
      </c>
      <c r="K792">
        <v>2.5099999999999998</v>
      </c>
      <c r="L792">
        <v>13.16</v>
      </c>
      <c r="M792">
        <v>13.64</v>
      </c>
      <c r="N792">
        <v>13.06</v>
      </c>
      <c r="O792">
        <v>13.25</v>
      </c>
      <c r="P792">
        <v>42.92</v>
      </c>
      <c r="Q792">
        <v>33510468</v>
      </c>
      <c r="R792">
        <v>0.76</v>
      </c>
      <c r="S792" t="s">
        <v>405</v>
      </c>
      <c r="T792" t="s">
        <v>47</v>
      </c>
      <c r="U792">
        <v>4.38</v>
      </c>
      <c r="V792">
        <v>13.39</v>
      </c>
      <c r="W792">
        <v>10332</v>
      </c>
      <c r="X792">
        <v>14685</v>
      </c>
      <c r="Y792">
        <v>0.7</v>
      </c>
      <c r="Z792">
        <v>2</v>
      </c>
      <c r="AA792">
        <v>11</v>
      </c>
      <c r="AB792" t="s">
        <v>31</v>
      </c>
    </row>
    <row r="793" spans="1:28">
      <c r="A793" t="str">
        <f>"600990"</f>
        <v>600990</v>
      </c>
      <c r="B793" t="s">
        <v>958</v>
      </c>
      <c r="C793">
        <v>-0.48</v>
      </c>
      <c r="D793">
        <v>25.03</v>
      </c>
      <c r="E793">
        <v>-0.12</v>
      </c>
      <c r="F793">
        <v>25.08</v>
      </c>
      <c r="G793">
        <v>25.11</v>
      </c>
      <c r="H793">
        <v>5934</v>
      </c>
      <c r="I793">
        <v>1</v>
      </c>
      <c r="J793">
        <v>-0.11</v>
      </c>
      <c r="K793">
        <v>0.5</v>
      </c>
      <c r="L793">
        <v>25.15</v>
      </c>
      <c r="M793">
        <v>25.25</v>
      </c>
      <c r="N793">
        <v>24.68</v>
      </c>
      <c r="O793">
        <v>25.15</v>
      </c>
      <c r="P793">
        <v>204.2</v>
      </c>
      <c r="Q793">
        <v>14786626</v>
      </c>
      <c r="R793">
        <v>0.8</v>
      </c>
      <c r="S793" t="s">
        <v>140</v>
      </c>
      <c r="T793" t="s">
        <v>52</v>
      </c>
      <c r="U793">
        <v>2.27</v>
      </c>
      <c r="V793">
        <v>24.92</v>
      </c>
      <c r="W793">
        <v>2553</v>
      </c>
      <c r="X793">
        <v>3381</v>
      </c>
      <c r="Y793">
        <v>0.76</v>
      </c>
      <c r="Z793">
        <v>4</v>
      </c>
      <c r="AA793">
        <v>2</v>
      </c>
      <c r="AB793" t="s">
        <v>31</v>
      </c>
    </row>
    <row r="794" spans="1:28">
      <c r="A794" t="str">
        <f>"600992"</f>
        <v>600992</v>
      </c>
      <c r="B794" t="s">
        <v>959</v>
      </c>
      <c r="C794">
        <v>2.15</v>
      </c>
      <c r="D794">
        <v>6.66</v>
      </c>
      <c r="E794">
        <v>0.14000000000000001</v>
      </c>
      <c r="F794">
        <v>6.65</v>
      </c>
      <c r="G794">
        <v>6.66</v>
      </c>
      <c r="H794">
        <v>6780</v>
      </c>
      <c r="I794">
        <v>6</v>
      </c>
      <c r="J794">
        <v>0.45</v>
      </c>
      <c r="K794">
        <v>0.41</v>
      </c>
      <c r="L794">
        <v>6.58</v>
      </c>
      <c r="M794">
        <v>6.66</v>
      </c>
      <c r="N794">
        <v>6.45</v>
      </c>
      <c r="O794">
        <v>6.52</v>
      </c>
      <c r="P794">
        <v>55.82</v>
      </c>
      <c r="Q794">
        <v>4455225</v>
      </c>
      <c r="R794">
        <v>1.0900000000000001</v>
      </c>
      <c r="S794" t="s">
        <v>254</v>
      </c>
      <c r="T794" t="s">
        <v>195</v>
      </c>
      <c r="U794">
        <v>3.22</v>
      </c>
      <c r="V794">
        <v>6.57</v>
      </c>
      <c r="W794">
        <v>3499</v>
      </c>
      <c r="X794">
        <v>3281</v>
      </c>
      <c r="Y794">
        <v>1.07</v>
      </c>
      <c r="Z794">
        <v>115</v>
      </c>
      <c r="AA794">
        <v>760</v>
      </c>
      <c r="AB794" t="s">
        <v>31</v>
      </c>
    </row>
    <row r="795" spans="1:28">
      <c r="A795" t="str">
        <f>"600993"</f>
        <v>600993</v>
      </c>
      <c r="B795" t="s">
        <v>960</v>
      </c>
      <c r="C795">
        <v>3.21</v>
      </c>
      <c r="D795">
        <v>18.02</v>
      </c>
      <c r="E795">
        <v>0.56000000000000005</v>
      </c>
      <c r="F795">
        <v>17.97</v>
      </c>
      <c r="G795">
        <v>18.05</v>
      </c>
      <c r="H795">
        <v>53694</v>
      </c>
      <c r="I795">
        <v>2</v>
      </c>
      <c r="J795">
        <v>0.55000000000000004</v>
      </c>
      <c r="K795">
        <v>1.62</v>
      </c>
      <c r="L795">
        <v>17.48</v>
      </c>
      <c r="M795">
        <v>18.05</v>
      </c>
      <c r="N795">
        <v>17.399999999999999</v>
      </c>
      <c r="O795">
        <v>17.46</v>
      </c>
      <c r="P795">
        <v>27.86</v>
      </c>
      <c r="Q795">
        <v>95417408</v>
      </c>
      <c r="R795">
        <v>0.56999999999999995</v>
      </c>
      <c r="S795" t="s">
        <v>156</v>
      </c>
      <c r="T795" t="s">
        <v>37</v>
      </c>
      <c r="U795">
        <v>3.72</v>
      </c>
      <c r="V795">
        <v>17.77</v>
      </c>
      <c r="W795">
        <v>24233</v>
      </c>
      <c r="X795">
        <v>29461</v>
      </c>
      <c r="Y795">
        <v>0.82</v>
      </c>
      <c r="Z795">
        <v>4</v>
      </c>
      <c r="AA795">
        <v>36</v>
      </c>
      <c r="AB795" t="s">
        <v>31</v>
      </c>
    </row>
    <row r="796" spans="1:28">
      <c r="A796" t="str">
        <f>"600995"</f>
        <v>600995</v>
      </c>
      <c r="B796" t="s">
        <v>961</v>
      </c>
      <c r="C796">
        <v>4.03</v>
      </c>
      <c r="D796">
        <v>5.16</v>
      </c>
      <c r="E796">
        <v>0.2</v>
      </c>
      <c r="F796">
        <v>5.15</v>
      </c>
      <c r="G796">
        <v>5.16</v>
      </c>
      <c r="H796">
        <v>135554</v>
      </c>
      <c r="I796">
        <v>33</v>
      </c>
      <c r="J796">
        <v>0</v>
      </c>
      <c r="K796">
        <v>2.83</v>
      </c>
      <c r="L796">
        <v>4.9800000000000004</v>
      </c>
      <c r="M796">
        <v>5.2</v>
      </c>
      <c r="N796">
        <v>4.92</v>
      </c>
      <c r="O796">
        <v>4.96</v>
      </c>
      <c r="P796">
        <v>14.68</v>
      </c>
      <c r="Q796">
        <v>69407352</v>
      </c>
      <c r="R796">
        <v>2.69</v>
      </c>
      <c r="S796" t="s">
        <v>179</v>
      </c>
      <c r="T796" t="s">
        <v>170</v>
      </c>
      <c r="U796">
        <v>5.65</v>
      </c>
      <c r="V796">
        <v>5.12</v>
      </c>
      <c r="W796">
        <v>52286</v>
      </c>
      <c r="X796">
        <v>83268</v>
      </c>
      <c r="Y796">
        <v>0.63</v>
      </c>
      <c r="Z796">
        <v>281</v>
      </c>
      <c r="AA796">
        <v>489</v>
      </c>
      <c r="AB796" t="s">
        <v>31</v>
      </c>
    </row>
    <row r="797" spans="1:28">
      <c r="A797" t="str">
        <f>"600997"</f>
        <v>600997</v>
      </c>
      <c r="B797" t="s">
        <v>962</v>
      </c>
      <c r="C797">
        <v>1.23</v>
      </c>
      <c r="D797">
        <v>5.77</v>
      </c>
      <c r="E797">
        <v>7.0000000000000007E-2</v>
      </c>
      <c r="F797">
        <v>5.77</v>
      </c>
      <c r="G797">
        <v>5.78</v>
      </c>
      <c r="H797">
        <v>30104</v>
      </c>
      <c r="I797">
        <v>11</v>
      </c>
      <c r="J797">
        <v>0</v>
      </c>
      <c r="K797">
        <v>0.24</v>
      </c>
      <c r="L797">
        <v>5.64</v>
      </c>
      <c r="M797">
        <v>5.78</v>
      </c>
      <c r="N797">
        <v>5.63</v>
      </c>
      <c r="O797">
        <v>5.7</v>
      </c>
      <c r="P797">
        <v>20.36</v>
      </c>
      <c r="Q797">
        <v>17266046</v>
      </c>
      <c r="R797">
        <v>0.49</v>
      </c>
      <c r="S797" t="s">
        <v>208</v>
      </c>
      <c r="T797" t="s">
        <v>224</v>
      </c>
      <c r="U797">
        <v>2.63</v>
      </c>
      <c r="V797">
        <v>5.74</v>
      </c>
      <c r="W797">
        <v>18119</v>
      </c>
      <c r="X797">
        <v>11985</v>
      </c>
      <c r="Y797">
        <v>1.51</v>
      </c>
      <c r="Z797">
        <v>11</v>
      </c>
      <c r="AA797">
        <v>520</v>
      </c>
      <c r="AB797" t="s">
        <v>31</v>
      </c>
    </row>
    <row r="798" spans="1:28">
      <c r="A798" t="str">
        <f>"600998"</f>
        <v>600998</v>
      </c>
      <c r="B798" t="s">
        <v>963</v>
      </c>
      <c r="C798">
        <v>0.15</v>
      </c>
      <c r="D798">
        <v>13.31</v>
      </c>
      <c r="E798">
        <v>0.02</v>
      </c>
      <c r="F798">
        <v>13.3</v>
      </c>
      <c r="G798">
        <v>13.33</v>
      </c>
      <c r="H798">
        <v>24178</v>
      </c>
      <c r="I798">
        <v>250</v>
      </c>
      <c r="J798">
        <v>0.68</v>
      </c>
      <c r="K798">
        <v>0.45</v>
      </c>
      <c r="L798">
        <v>13.44</v>
      </c>
      <c r="M798">
        <v>13.65</v>
      </c>
      <c r="N798">
        <v>13.21</v>
      </c>
      <c r="O798">
        <v>13.29</v>
      </c>
      <c r="P798">
        <v>58.84</v>
      </c>
      <c r="Q798">
        <v>32398036</v>
      </c>
      <c r="R798">
        <v>1.33</v>
      </c>
      <c r="S798" t="s">
        <v>105</v>
      </c>
      <c r="T798" t="s">
        <v>37</v>
      </c>
      <c r="U798">
        <v>3.31</v>
      </c>
      <c r="V798">
        <v>13.4</v>
      </c>
      <c r="W798">
        <v>13492</v>
      </c>
      <c r="X798">
        <v>10686</v>
      </c>
      <c r="Y798">
        <v>1.26</v>
      </c>
      <c r="Z798">
        <v>163</v>
      </c>
      <c r="AA798">
        <v>59</v>
      </c>
      <c r="AB798" t="s">
        <v>31</v>
      </c>
    </row>
    <row r="799" spans="1:28">
      <c r="A799" t="str">
        <f>"600999"</f>
        <v>600999</v>
      </c>
      <c r="B799" t="s">
        <v>964</v>
      </c>
      <c r="C799">
        <v>0.65</v>
      </c>
      <c r="D799">
        <v>10.77</v>
      </c>
      <c r="E799">
        <v>7.0000000000000007E-2</v>
      </c>
      <c r="F799">
        <v>10.77</v>
      </c>
      <c r="G799">
        <v>10.79</v>
      </c>
      <c r="H799">
        <v>113267</v>
      </c>
      <c r="I799">
        <v>697</v>
      </c>
      <c r="J799">
        <v>0.18</v>
      </c>
      <c r="K799">
        <v>0.24</v>
      </c>
      <c r="L799">
        <v>10.75</v>
      </c>
      <c r="M799">
        <v>10.81</v>
      </c>
      <c r="N799">
        <v>10.61</v>
      </c>
      <c r="O799">
        <v>10.7</v>
      </c>
      <c r="P799">
        <v>23.79</v>
      </c>
      <c r="Q799">
        <v>121178608</v>
      </c>
      <c r="R799">
        <v>0.87</v>
      </c>
      <c r="S799" t="s">
        <v>72</v>
      </c>
      <c r="T799" t="s">
        <v>73</v>
      </c>
      <c r="U799">
        <v>1.87</v>
      </c>
      <c r="V799">
        <v>10.7</v>
      </c>
      <c r="W799">
        <v>55031</v>
      </c>
      <c r="X799">
        <v>58236</v>
      </c>
      <c r="Y799">
        <v>0.94</v>
      </c>
      <c r="Z799">
        <v>361</v>
      </c>
      <c r="AA799">
        <v>5</v>
      </c>
      <c r="AB799" t="s">
        <v>31</v>
      </c>
    </row>
    <row r="800" spans="1:28">
      <c r="A800" t="str">
        <f>"601000"</f>
        <v>601000</v>
      </c>
      <c r="B800" t="s">
        <v>965</v>
      </c>
      <c r="C800">
        <v>2.84</v>
      </c>
      <c r="D800">
        <v>3.26</v>
      </c>
      <c r="E800">
        <v>0.09</v>
      </c>
      <c r="F800">
        <v>3.25</v>
      </c>
      <c r="G800">
        <v>3.26</v>
      </c>
      <c r="H800">
        <v>88921</v>
      </c>
      <c r="I800">
        <v>6</v>
      </c>
      <c r="J800">
        <v>0.3</v>
      </c>
      <c r="K800">
        <v>0.44</v>
      </c>
      <c r="L800">
        <v>3.15</v>
      </c>
      <c r="M800">
        <v>3.26</v>
      </c>
      <c r="N800">
        <v>3.15</v>
      </c>
      <c r="O800">
        <v>3.17</v>
      </c>
      <c r="P800">
        <v>7.54</v>
      </c>
      <c r="Q800">
        <v>28490136</v>
      </c>
      <c r="R800">
        <v>1.34</v>
      </c>
      <c r="S800" t="s">
        <v>56</v>
      </c>
      <c r="T800" t="s">
        <v>224</v>
      </c>
      <c r="U800">
        <v>3.47</v>
      </c>
      <c r="V800">
        <v>3.2</v>
      </c>
      <c r="W800">
        <v>25208</v>
      </c>
      <c r="X800">
        <v>63713</v>
      </c>
      <c r="Y800">
        <v>0.4</v>
      </c>
      <c r="Z800">
        <v>850</v>
      </c>
      <c r="AA800">
        <v>2323</v>
      </c>
      <c r="AB800" t="s">
        <v>31</v>
      </c>
    </row>
    <row r="801" spans="1:28">
      <c r="A801" t="str">
        <f>"601001"</f>
        <v>601001</v>
      </c>
      <c r="B801" t="s">
        <v>966</v>
      </c>
      <c r="C801">
        <v>1.52</v>
      </c>
      <c r="D801">
        <v>6.03</v>
      </c>
      <c r="E801">
        <v>0.09</v>
      </c>
      <c r="F801">
        <v>6.02</v>
      </c>
      <c r="G801">
        <v>6.03</v>
      </c>
      <c r="H801">
        <v>31825</v>
      </c>
      <c r="I801">
        <v>28</v>
      </c>
      <c r="J801">
        <v>0.16</v>
      </c>
      <c r="K801">
        <v>0.19</v>
      </c>
      <c r="L801">
        <v>5.96</v>
      </c>
      <c r="M801">
        <v>6.08</v>
      </c>
      <c r="N801">
        <v>5.96</v>
      </c>
      <c r="O801">
        <v>5.94</v>
      </c>
      <c r="P801" t="s">
        <v>31</v>
      </c>
      <c r="Q801">
        <v>19175058</v>
      </c>
      <c r="R801">
        <v>0.54</v>
      </c>
      <c r="S801" t="s">
        <v>208</v>
      </c>
      <c r="T801" t="s">
        <v>212</v>
      </c>
      <c r="U801">
        <v>2.02</v>
      </c>
      <c r="V801">
        <v>6.03</v>
      </c>
      <c r="W801">
        <v>17487</v>
      </c>
      <c r="X801">
        <v>14338</v>
      </c>
      <c r="Y801">
        <v>1.22</v>
      </c>
      <c r="Z801">
        <v>294</v>
      </c>
      <c r="AA801">
        <v>254</v>
      </c>
      <c r="AB801" t="s">
        <v>31</v>
      </c>
    </row>
    <row r="802" spans="1:28">
      <c r="A802" t="str">
        <f>"601002"</f>
        <v>601002</v>
      </c>
      <c r="B802" t="s">
        <v>967</v>
      </c>
      <c r="C802">
        <v>4.37</v>
      </c>
      <c r="D802">
        <v>9.31</v>
      </c>
      <c r="E802">
        <v>0.39</v>
      </c>
      <c r="F802">
        <v>9.3000000000000007</v>
      </c>
      <c r="G802">
        <v>9.31</v>
      </c>
      <c r="H802">
        <v>127538</v>
      </c>
      <c r="I802">
        <v>74</v>
      </c>
      <c r="J802">
        <v>0.1</v>
      </c>
      <c r="K802">
        <v>1.73</v>
      </c>
      <c r="L802">
        <v>8.9600000000000009</v>
      </c>
      <c r="M802">
        <v>9.39</v>
      </c>
      <c r="N802">
        <v>8.8000000000000007</v>
      </c>
      <c r="O802">
        <v>8.92</v>
      </c>
      <c r="P802">
        <v>120.84</v>
      </c>
      <c r="Q802">
        <v>116707408</v>
      </c>
      <c r="R802">
        <v>0.75</v>
      </c>
      <c r="S802" t="s">
        <v>198</v>
      </c>
      <c r="T802" t="s">
        <v>95</v>
      </c>
      <c r="U802">
        <v>6.61</v>
      </c>
      <c r="V802">
        <v>9.15</v>
      </c>
      <c r="W802">
        <v>60695</v>
      </c>
      <c r="X802">
        <v>66843</v>
      </c>
      <c r="Y802">
        <v>0.91</v>
      </c>
      <c r="Z802">
        <v>27</v>
      </c>
      <c r="AA802">
        <v>192</v>
      </c>
      <c r="AB802" t="s">
        <v>31</v>
      </c>
    </row>
    <row r="803" spans="1:28">
      <c r="A803" t="str">
        <f>"601003"</f>
        <v>601003</v>
      </c>
      <c r="B803" t="s">
        <v>968</v>
      </c>
      <c r="C803">
        <v>1.42</v>
      </c>
      <c r="D803">
        <v>2.14</v>
      </c>
      <c r="E803">
        <v>0.03</v>
      </c>
      <c r="F803">
        <v>2.14</v>
      </c>
      <c r="G803">
        <v>2.15</v>
      </c>
      <c r="H803">
        <v>13844</v>
      </c>
      <c r="I803">
        <v>1</v>
      </c>
      <c r="J803">
        <v>-0.46</v>
      </c>
      <c r="K803">
        <v>0.05</v>
      </c>
      <c r="L803">
        <v>2.13</v>
      </c>
      <c r="M803">
        <v>2.16</v>
      </c>
      <c r="N803">
        <v>2.11</v>
      </c>
      <c r="O803">
        <v>2.11</v>
      </c>
      <c r="P803" t="s">
        <v>31</v>
      </c>
      <c r="Q803">
        <v>2960638</v>
      </c>
      <c r="R803">
        <v>0.51</v>
      </c>
      <c r="S803" t="s">
        <v>36</v>
      </c>
      <c r="T803" t="s">
        <v>333</v>
      </c>
      <c r="U803">
        <v>2.37</v>
      </c>
      <c r="V803">
        <v>2.14</v>
      </c>
      <c r="W803">
        <v>2845</v>
      </c>
      <c r="X803">
        <v>10999</v>
      </c>
      <c r="Y803">
        <v>0.26</v>
      </c>
      <c r="Z803">
        <v>645</v>
      </c>
      <c r="AA803">
        <v>506</v>
      </c>
      <c r="AB803" t="s">
        <v>31</v>
      </c>
    </row>
    <row r="804" spans="1:28">
      <c r="A804" t="str">
        <f>"601005"</f>
        <v>601005</v>
      </c>
      <c r="B804" t="s">
        <v>969</v>
      </c>
      <c r="C804">
        <v>2.4300000000000002</v>
      </c>
      <c r="D804">
        <v>2.5299999999999998</v>
      </c>
      <c r="E804">
        <v>0.06</v>
      </c>
      <c r="F804">
        <v>2.5299999999999998</v>
      </c>
      <c r="G804">
        <v>2.54</v>
      </c>
      <c r="H804">
        <v>51598</v>
      </c>
      <c r="I804">
        <v>65</v>
      </c>
      <c r="J804">
        <v>0</v>
      </c>
      <c r="K804">
        <v>0.43</v>
      </c>
      <c r="L804">
        <v>2.5</v>
      </c>
      <c r="M804">
        <v>2.54</v>
      </c>
      <c r="N804">
        <v>2.4700000000000002</v>
      </c>
      <c r="O804">
        <v>2.4700000000000002</v>
      </c>
      <c r="P804" t="s">
        <v>31</v>
      </c>
      <c r="Q804">
        <v>12920414</v>
      </c>
      <c r="R804">
        <v>0.66</v>
      </c>
      <c r="S804" t="s">
        <v>36</v>
      </c>
      <c r="T804" t="s">
        <v>184</v>
      </c>
      <c r="U804">
        <v>2.83</v>
      </c>
      <c r="V804">
        <v>2.5</v>
      </c>
      <c r="W804">
        <v>19501</v>
      </c>
      <c r="X804">
        <v>32097</v>
      </c>
      <c r="Y804">
        <v>0.61</v>
      </c>
      <c r="Z804">
        <v>6694</v>
      </c>
      <c r="AA804">
        <v>3928</v>
      </c>
      <c r="AB804" t="s">
        <v>31</v>
      </c>
    </row>
    <row r="805" spans="1:28">
      <c r="A805" t="str">
        <f>"601006"</f>
        <v>601006</v>
      </c>
      <c r="B805" t="s">
        <v>970</v>
      </c>
      <c r="C805">
        <v>2.36</v>
      </c>
      <c r="D805">
        <v>7.37</v>
      </c>
      <c r="E805">
        <v>0.17</v>
      </c>
      <c r="F805">
        <v>7.37</v>
      </c>
      <c r="G805">
        <v>7.38</v>
      </c>
      <c r="H805">
        <v>542568</v>
      </c>
      <c r="I805">
        <v>55</v>
      </c>
      <c r="J805">
        <v>0</v>
      </c>
      <c r="K805">
        <v>0.36</v>
      </c>
      <c r="L805">
        <v>7.2</v>
      </c>
      <c r="M805">
        <v>7.44</v>
      </c>
      <c r="N805">
        <v>7.18</v>
      </c>
      <c r="O805">
        <v>7.2</v>
      </c>
      <c r="P805">
        <v>8.4499999999999993</v>
      </c>
      <c r="Q805">
        <v>398542112</v>
      </c>
      <c r="R805">
        <v>2.2599999999999998</v>
      </c>
      <c r="S805" t="s">
        <v>214</v>
      </c>
      <c r="T805" t="s">
        <v>212</v>
      </c>
      <c r="U805">
        <v>3.61</v>
      </c>
      <c r="V805">
        <v>7.35</v>
      </c>
      <c r="W805">
        <v>268072</v>
      </c>
      <c r="X805">
        <v>274496</v>
      </c>
      <c r="Y805">
        <v>0.98</v>
      </c>
      <c r="Z805">
        <v>8755</v>
      </c>
      <c r="AA805">
        <v>105</v>
      </c>
      <c r="AB805" t="s">
        <v>31</v>
      </c>
    </row>
    <row r="806" spans="1:28">
      <c r="A806" t="str">
        <f>"601007"</f>
        <v>601007</v>
      </c>
      <c r="B806" t="s">
        <v>971</v>
      </c>
      <c r="C806">
        <v>0.75</v>
      </c>
      <c r="D806">
        <v>8.09</v>
      </c>
      <c r="E806">
        <v>0.06</v>
      </c>
      <c r="F806">
        <v>8.09</v>
      </c>
      <c r="G806">
        <v>8.1</v>
      </c>
      <c r="H806">
        <v>29133</v>
      </c>
      <c r="I806">
        <v>9</v>
      </c>
      <c r="J806">
        <v>0.12</v>
      </c>
      <c r="K806">
        <v>0.97</v>
      </c>
      <c r="L806">
        <v>8.02</v>
      </c>
      <c r="M806">
        <v>8.15</v>
      </c>
      <c r="N806">
        <v>7.97</v>
      </c>
      <c r="O806">
        <v>8.0299999999999994</v>
      </c>
      <c r="P806">
        <v>49.83</v>
      </c>
      <c r="Q806">
        <v>23450540</v>
      </c>
      <c r="R806">
        <v>0.78</v>
      </c>
      <c r="S806" t="s">
        <v>354</v>
      </c>
      <c r="T806" t="s">
        <v>120</v>
      </c>
      <c r="U806">
        <v>2.2400000000000002</v>
      </c>
      <c r="V806">
        <v>8.0500000000000007</v>
      </c>
      <c r="W806">
        <v>16860</v>
      </c>
      <c r="X806">
        <v>12273</v>
      </c>
      <c r="Y806">
        <v>1.37</v>
      </c>
      <c r="Z806">
        <v>318</v>
      </c>
      <c r="AA806">
        <v>20</v>
      </c>
      <c r="AB806" t="s">
        <v>31</v>
      </c>
    </row>
    <row r="807" spans="1:28">
      <c r="A807" t="str">
        <f>"601008"</f>
        <v>601008</v>
      </c>
      <c r="B807" t="s">
        <v>972</v>
      </c>
      <c r="C807">
        <v>3.35</v>
      </c>
      <c r="D807">
        <v>3.39</v>
      </c>
      <c r="E807">
        <v>0.11</v>
      </c>
      <c r="F807">
        <v>3.39</v>
      </c>
      <c r="G807">
        <v>3.4</v>
      </c>
      <c r="H807">
        <v>76324</v>
      </c>
      <c r="I807">
        <v>74</v>
      </c>
      <c r="J807">
        <v>0.28999999999999998</v>
      </c>
      <c r="K807">
        <v>1.01</v>
      </c>
      <c r="L807">
        <v>3.27</v>
      </c>
      <c r="M807">
        <v>3.4</v>
      </c>
      <c r="N807">
        <v>3.25</v>
      </c>
      <c r="O807">
        <v>3.28</v>
      </c>
      <c r="P807">
        <v>14.44</v>
      </c>
      <c r="Q807">
        <v>25435144</v>
      </c>
      <c r="R807">
        <v>0.44</v>
      </c>
      <c r="S807" t="s">
        <v>56</v>
      </c>
      <c r="T807" t="s">
        <v>120</v>
      </c>
      <c r="U807">
        <v>4.57</v>
      </c>
      <c r="V807">
        <v>3.33</v>
      </c>
      <c r="W807">
        <v>33066</v>
      </c>
      <c r="X807">
        <v>43258</v>
      </c>
      <c r="Y807">
        <v>0.76</v>
      </c>
      <c r="Z807">
        <v>26</v>
      </c>
      <c r="AA807">
        <v>2071</v>
      </c>
      <c r="AB807" t="s">
        <v>31</v>
      </c>
    </row>
    <row r="808" spans="1:28">
      <c r="A808" t="str">
        <f>"601009"</f>
        <v>601009</v>
      </c>
      <c r="B808" t="s">
        <v>973</v>
      </c>
      <c r="C808">
        <v>0.35</v>
      </c>
      <c r="D808">
        <v>8.59</v>
      </c>
      <c r="E808">
        <v>0.03</v>
      </c>
      <c r="F808">
        <v>8.59</v>
      </c>
      <c r="G808">
        <v>8.6</v>
      </c>
      <c r="H808">
        <v>217094</v>
      </c>
      <c r="I808">
        <v>21</v>
      </c>
      <c r="J808">
        <v>0</v>
      </c>
      <c r="K808">
        <v>0.73</v>
      </c>
      <c r="L808">
        <v>8.52</v>
      </c>
      <c r="M808">
        <v>8.65</v>
      </c>
      <c r="N808">
        <v>8.4600000000000009</v>
      </c>
      <c r="O808">
        <v>8.56</v>
      </c>
      <c r="P808">
        <v>5.31</v>
      </c>
      <c r="Q808">
        <v>185393536</v>
      </c>
      <c r="R808">
        <v>1.02</v>
      </c>
      <c r="S808" t="s">
        <v>29</v>
      </c>
      <c r="T808" t="s">
        <v>120</v>
      </c>
      <c r="U808">
        <v>2.2200000000000002</v>
      </c>
      <c r="V808">
        <v>8.5399999999999991</v>
      </c>
      <c r="W808">
        <v>110838</v>
      </c>
      <c r="X808">
        <v>106256</v>
      </c>
      <c r="Y808">
        <v>1.04</v>
      </c>
      <c r="Z808">
        <v>214</v>
      </c>
      <c r="AA808">
        <v>4082</v>
      </c>
      <c r="AB808" t="s">
        <v>31</v>
      </c>
    </row>
    <row r="809" spans="1:28">
      <c r="A809" t="str">
        <f>"601010"</f>
        <v>601010</v>
      </c>
      <c r="B809" t="s">
        <v>974</v>
      </c>
      <c r="C809">
        <v>1.71</v>
      </c>
      <c r="D809">
        <v>7.12</v>
      </c>
      <c r="E809">
        <v>0.12</v>
      </c>
      <c r="F809">
        <v>7.12</v>
      </c>
      <c r="G809">
        <v>7.13</v>
      </c>
      <c r="H809">
        <v>20336</v>
      </c>
      <c r="I809">
        <v>100</v>
      </c>
      <c r="J809">
        <v>0</v>
      </c>
      <c r="K809">
        <v>1.1000000000000001</v>
      </c>
      <c r="L809">
        <v>6.99</v>
      </c>
      <c r="M809">
        <v>7.18</v>
      </c>
      <c r="N809">
        <v>6.95</v>
      </c>
      <c r="O809">
        <v>7</v>
      </c>
      <c r="P809">
        <v>14.91</v>
      </c>
      <c r="Q809">
        <v>14424038</v>
      </c>
      <c r="R809">
        <v>0.45</v>
      </c>
      <c r="S809" t="s">
        <v>453</v>
      </c>
      <c r="T809" t="s">
        <v>120</v>
      </c>
      <c r="U809">
        <v>3.29</v>
      </c>
      <c r="V809">
        <v>7.09</v>
      </c>
      <c r="W809">
        <v>11181</v>
      </c>
      <c r="X809">
        <v>9155</v>
      </c>
      <c r="Y809">
        <v>1.22</v>
      </c>
      <c r="Z809">
        <v>5</v>
      </c>
      <c r="AA809">
        <v>367</v>
      </c>
      <c r="AB809" t="s">
        <v>31</v>
      </c>
    </row>
    <row r="810" spans="1:28">
      <c r="A810" t="str">
        <f>"601011"</f>
        <v>601011</v>
      </c>
      <c r="B810" t="s">
        <v>975</v>
      </c>
      <c r="C810">
        <v>-1.31</v>
      </c>
      <c r="D810">
        <v>9.7799999999999994</v>
      </c>
      <c r="E810">
        <v>-0.13</v>
      </c>
      <c r="F810">
        <v>9.75</v>
      </c>
      <c r="G810">
        <v>9.7799999999999994</v>
      </c>
      <c r="H810">
        <v>27583</v>
      </c>
      <c r="I810">
        <v>13</v>
      </c>
      <c r="J810">
        <v>0.72</v>
      </c>
      <c r="K810">
        <v>2.21</v>
      </c>
      <c r="L810">
        <v>9.77</v>
      </c>
      <c r="M810">
        <v>9.8000000000000007</v>
      </c>
      <c r="N810">
        <v>9.36</v>
      </c>
      <c r="O810">
        <v>9.91</v>
      </c>
      <c r="P810">
        <v>486.32</v>
      </c>
      <c r="Q810">
        <v>26446088</v>
      </c>
      <c r="R810">
        <v>0.5</v>
      </c>
      <c r="S810" t="s">
        <v>272</v>
      </c>
      <c r="T810" t="s">
        <v>85</v>
      </c>
      <c r="U810">
        <v>4.4400000000000004</v>
      </c>
      <c r="V810">
        <v>9.59</v>
      </c>
      <c r="W810">
        <v>14761</v>
      </c>
      <c r="X810">
        <v>12822</v>
      </c>
      <c r="Y810">
        <v>1.1499999999999999</v>
      </c>
      <c r="Z810">
        <v>249</v>
      </c>
      <c r="AA810">
        <v>50</v>
      </c>
      <c r="AB810" t="s">
        <v>31</v>
      </c>
    </row>
    <row r="811" spans="1:28">
      <c r="A811" t="str">
        <f>"601012"</f>
        <v>601012</v>
      </c>
      <c r="B811" t="s">
        <v>976</v>
      </c>
      <c r="C811">
        <v>-1.98</v>
      </c>
      <c r="D811">
        <v>16.32</v>
      </c>
      <c r="E811">
        <v>-0.33</v>
      </c>
      <c r="F811">
        <v>16.3</v>
      </c>
      <c r="G811">
        <v>16.309999999999999</v>
      </c>
      <c r="H811">
        <v>43155</v>
      </c>
      <c r="I811">
        <v>10</v>
      </c>
      <c r="J811">
        <v>-0.18</v>
      </c>
      <c r="K811">
        <v>1.39</v>
      </c>
      <c r="L811">
        <v>16.59</v>
      </c>
      <c r="M811">
        <v>16.59</v>
      </c>
      <c r="N811">
        <v>15.9</v>
      </c>
      <c r="O811">
        <v>16.649999999999999</v>
      </c>
      <c r="P811">
        <v>209.75</v>
      </c>
      <c r="Q811">
        <v>70217696</v>
      </c>
      <c r="R811">
        <v>0.61</v>
      </c>
      <c r="S811" t="s">
        <v>241</v>
      </c>
      <c r="T811" t="s">
        <v>147</v>
      </c>
      <c r="U811">
        <v>4.1399999999999997</v>
      </c>
      <c r="V811">
        <v>16.27</v>
      </c>
      <c r="W811">
        <v>23743</v>
      </c>
      <c r="X811">
        <v>19412</v>
      </c>
      <c r="Y811">
        <v>1.22</v>
      </c>
      <c r="Z811">
        <v>121</v>
      </c>
      <c r="AA811">
        <v>20</v>
      </c>
      <c r="AB811" t="s">
        <v>31</v>
      </c>
    </row>
    <row r="812" spans="1:28">
      <c r="A812" t="str">
        <f>"601018"</f>
        <v>601018</v>
      </c>
      <c r="B812" t="s">
        <v>977</v>
      </c>
      <c r="C812">
        <v>2.2200000000000002</v>
      </c>
      <c r="D812">
        <v>2.2999999999999998</v>
      </c>
      <c r="E812">
        <v>0.05</v>
      </c>
      <c r="F812">
        <v>2.2999999999999998</v>
      </c>
      <c r="G812">
        <v>2.31</v>
      </c>
      <c r="H812">
        <v>145875</v>
      </c>
      <c r="I812">
        <v>4</v>
      </c>
      <c r="J812">
        <v>0</v>
      </c>
      <c r="K812">
        <v>0.11</v>
      </c>
      <c r="L812">
        <v>2.25</v>
      </c>
      <c r="M812">
        <v>2.31</v>
      </c>
      <c r="N812">
        <v>2.2400000000000002</v>
      </c>
      <c r="O812">
        <v>2.25</v>
      </c>
      <c r="P812">
        <v>9.9600000000000009</v>
      </c>
      <c r="Q812">
        <v>33160188</v>
      </c>
      <c r="R812">
        <v>1.1299999999999999</v>
      </c>
      <c r="S812" t="s">
        <v>56</v>
      </c>
      <c r="T812" t="s">
        <v>95</v>
      </c>
      <c r="U812">
        <v>3.11</v>
      </c>
      <c r="V812">
        <v>2.27</v>
      </c>
      <c r="W812">
        <v>73311</v>
      </c>
      <c r="X812">
        <v>72564</v>
      </c>
      <c r="Y812">
        <v>1.01</v>
      </c>
      <c r="Z812">
        <v>7</v>
      </c>
      <c r="AA812">
        <v>8302</v>
      </c>
      <c r="AB812" t="s">
        <v>31</v>
      </c>
    </row>
    <row r="813" spans="1:28">
      <c r="A813" t="str">
        <f>"601028"</f>
        <v>601028</v>
      </c>
      <c r="B813" t="s">
        <v>978</v>
      </c>
      <c r="C813">
        <v>0</v>
      </c>
      <c r="D813">
        <v>12.75</v>
      </c>
      <c r="E813">
        <v>0</v>
      </c>
      <c r="F813" t="s">
        <v>31</v>
      </c>
      <c r="G813" t="s">
        <v>31</v>
      </c>
      <c r="H813">
        <v>0</v>
      </c>
      <c r="I813">
        <v>0</v>
      </c>
      <c r="J813">
        <v>0</v>
      </c>
      <c r="K813">
        <v>0</v>
      </c>
      <c r="L813" t="s">
        <v>31</v>
      </c>
      <c r="M813" t="s">
        <v>31</v>
      </c>
      <c r="N813" t="s">
        <v>31</v>
      </c>
      <c r="O813">
        <v>12.75</v>
      </c>
      <c r="P813">
        <v>29.64</v>
      </c>
      <c r="Q813">
        <v>0</v>
      </c>
      <c r="R813">
        <v>0</v>
      </c>
      <c r="S813" t="s">
        <v>254</v>
      </c>
      <c r="T813" t="s">
        <v>120</v>
      </c>
      <c r="U813">
        <v>0</v>
      </c>
      <c r="V813">
        <v>12.75</v>
      </c>
      <c r="W813">
        <v>0</v>
      </c>
      <c r="X813">
        <v>0</v>
      </c>
      <c r="Y813" t="s">
        <v>31</v>
      </c>
      <c r="Z813">
        <v>0</v>
      </c>
      <c r="AA813">
        <v>0</v>
      </c>
      <c r="AB813" t="s">
        <v>31</v>
      </c>
    </row>
    <row r="814" spans="1:28">
      <c r="A814" t="str">
        <f>"601038"</f>
        <v>601038</v>
      </c>
      <c r="B814" t="s">
        <v>979</v>
      </c>
      <c r="C814">
        <v>0</v>
      </c>
      <c r="D814">
        <v>8.74</v>
      </c>
      <c r="E814">
        <v>0</v>
      </c>
      <c r="F814">
        <v>8.75</v>
      </c>
      <c r="G814">
        <v>8.76</v>
      </c>
      <c r="H814">
        <v>126894</v>
      </c>
      <c r="I814">
        <v>420</v>
      </c>
      <c r="J814">
        <v>0.22</v>
      </c>
      <c r="K814">
        <v>8.4600000000000009</v>
      </c>
      <c r="L814">
        <v>8.64</v>
      </c>
      <c r="M814">
        <v>8.7899999999999991</v>
      </c>
      <c r="N814">
        <v>8.48</v>
      </c>
      <c r="O814">
        <v>8.74</v>
      </c>
      <c r="P814">
        <v>22.57</v>
      </c>
      <c r="Q814">
        <v>110013416</v>
      </c>
      <c r="R814">
        <v>0.75</v>
      </c>
      <c r="S814" t="s">
        <v>314</v>
      </c>
      <c r="T814" t="s">
        <v>61</v>
      </c>
      <c r="U814">
        <v>3.55</v>
      </c>
      <c r="V814">
        <v>8.67</v>
      </c>
      <c r="W814">
        <v>63374</v>
      </c>
      <c r="X814">
        <v>63520</v>
      </c>
      <c r="Y814">
        <v>1</v>
      </c>
      <c r="Z814">
        <v>245</v>
      </c>
      <c r="AA814">
        <v>513</v>
      </c>
      <c r="AB814" t="s">
        <v>31</v>
      </c>
    </row>
    <row r="815" spans="1:28">
      <c r="A815" t="str">
        <f>"601058"</f>
        <v>601058</v>
      </c>
      <c r="B815" t="s">
        <v>980</v>
      </c>
      <c r="C815">
        <v>2</v>
      </c>
      <c r="D815">
        <v>11.21</v>
      </c>
      <c r="E815">
        <v>0.22</v>
      </c>
      <c r="F815">
        <v>11.2</v>
      </c>
      <c r="G815">
        <v>11.21</v>
      </c>
      <c r="H815">
        <v>19340</v>
      </c>
      <c r="I815">
        <v>112</v>
      </c>
      <c r="J815">
        <v>0</v>
      </c>
      <c r="K815">
        <v>0.99</v>
      </c>
      <c r="L815">
        <v>10.9</v>
      </c>
      <c r="M815">
        <v>11.34</v>
      </c>
      <c r="N815">
        <v>10.9</v>
      </c>
      <c r="O815">
        <v>10.99</v>
      </c>
      <c r="P815">
        <v>16.28</v>
      </c>
      <c r="Q815">
        <v>21631616</v>
      </c>
      <c r="R815">
        <v>0.52</v>
      </c>
      <c r="S815" t="s">
        <v>149</v>
      </c>
      <c r="T815" t="s">
        <v>57</v>
      </c>
      <c r="U815">
        <v>4</v>
      </c>
      <c r="V815">
        <v>11.18</v>
      </c>
      <c r="W815">
        <v>7341</v>
      </c>
      <c r="X815">
        <v>11999</v>
      </c>
      <c r="Y815">
        <v>0.61</v>
      </c>
      <c r="Z815">
        <v>72</v>
      </c>
      <c r="AA815">
        <v>38</v>
      </c>
      <c r="AB815" t="s">
        <v>31</v>
      </c>
    </row>
    <row r="816" spans="1:28">
      <c r="A816" t="str">
        <f>"601088"</f>
        <v>601088</v>
      </c>
      <c r="B816" t="s">
        <v>981</v>
      </c>
      <c r="C816">
        <v>0.8</v>
      </c>
      <c r="D816">
        <v>16.399999999999999</v>
      </c>
      <c r="E816">
        <v>0.13</v>
      </c>
      <c r="F816">
        <v>16.38</v>
      </c>
      <c r="G816">
        <v>16.39</v>
      </c>
      <c r="H816">
        <v>115819</v>
      </c>
      <c r="I816">
        <v>10</v>
      </c>
      <c r="J816">
        <v>-0.06</v>
      </c>
      <c r="K816">
        <v>7.0000000000000007E-2</v>
      </c>
      <c r="L816">
        <v>16.239999999999998</v>
      </c>
      <c r="M816">
        <v>16.53</v>
      </c>
      <c r="N816">
        <v>16.149999999999999</v>
      </c>
      <c r="O816">
        <v>16.27</v>
      </c>
      <c r="P816">
        <v>7.27</v>
      </c>
      <c r="Q816">
        <v>189560512</v>
      </c>
      <c r="R816">
        <v>0.86</v>
      </c>
      <c r="S816" t="s">
        <v>208</v>
      </c>
      <c r="T816" t="s">
        <v>42</v>
      </c>
      <c r="U816">
        <v>2.34</v>
      </c>
      <c r="V816">
        <v>16.37</v>
      </c>
      <c r="W816">
        <v>65513</v>
      </c>
      <c r="X816">
        <v>50306</v>
      </c>
      <c r="Y816">
        <v>1.3</v>
      </c>
      <c r="Z816">
        <v>766</v>
      </c>
      <c r="AA816">
        <v>195</v>
      </c>
      <c r="AB816" t="s">
        <v>31</v>
      </c>
    </row>
    <row r="817" spans="1:28">
      <c r="A817" t="str">
        <f>"601098"</f>
        <v>601098</v>
      </c>
      <c r="B817" t="s">
        <v>982</v>
      </c>
      <c r="C817">
        <v>2.91</v>
      </c>
      <c r="D817">
        <v>10.61</v>
      </c>
      <c r="E817">
        <v>0.3</v>
      </c>
      <c r="F817">
        <v>10.61</v>
      </c>
      <c r="G817">
        <v>10.62</v>
      </c>
      <c r="H817">
        <v>120190</v>
      </c>
      <c r="I817">
        <v>18</v>
      </c>
      <c r="J817">
        <v>0.18</v>
      </c>
      <c r="K817">
        <v>0.67</v>
      </c>
      <c r="L817">
        <v>10.25</v>
      </c>
      <c r="M817">
        <v>10.62</v>
      </c>
      <c r="N817">
        <v>10.199999999999999</v>
      </c>
      <c r="O817">
        <v>10.31</v>
      </c>
      <c r="P817">
        <v>19.96</v>
      </c>
      <c r="Q817">
        <v>125523008</v>
      </c>
      <c r="R817">
        <v>0.93</v>
      </c>
      <c r="S817" t="s">
        <v>466</v>
      </c>
      <c r="T817" t="s">
        <v>76</v>
      </c>
      <c r="U817">
        <v>4.07</v>
      </c>
      <c r="V817">
        <v>10.44</v>
      </c>
      <c r="W817">
        <v>55605</v>
      </c>
      <c r="X817">
        <v>64585</v>
      </c>
      <c r="Y817">
        <v>0.86</v>
      </c>
      <c r="Z817">
        <v>15</v>
      </c>
      <c r="AA817">
        <v>486</v>
      </c>
      <c r="AB817" t="s">
        <v>31</v>
      </c>
    </row>
    <row r="818" spans="1:28">
      <c r="A818" t="str">
        <f>"601099"</f>
        <v>601099</v>
      </c>
      <c r="B818" t="s">
        <v>983</v>
      </c>
      <c r="C818">
        <v>1.58</v>
      </c>
      <c r="D818">
        <v>5.14</v>
      </c>
      <c r="E818">
        <v>0.08</v>
      </c>
      <c r="F818">
        <v>5.13</v>
      </c>
      <c r="G818">
        <v>5.14</v>
      </c>
      <c r="H818">
        <v>274013</v>
      </c>
      <c r="I818">
        <v>20</v>
      </c>
      <c r="J818">
        <v>0.19</v>
      </c>
      <c r="K818">
        <v>1.66</v>
      </c>
      <c r="L818">
        <v>5.0599999999999996</v>
      </c>
      <c r="M818">
        <v>5.15</v>
      </c>
      <c r="N818">
        <v>5.03</v>
      </c>
      <c r="O818">
        <v>5.0599999999999996</v>
      </c>
      <c r="P818">
        <v>80.5</v>
      </c>
      <c r="Q818">
        <v>139340848</v>
      </c>
      <c r="R818">
        <v>1.08</v>
      </c>
      <c r="S818" t="s">
        <v>72</v>
      </c>
      <c r="T818" t="s">
        <v>170</v>
      </c>
      <c r="U818">
        <v>2.37</v>
      </c>
      <c r="V818">
        <v>5.09</v>
      </c>
      <c r="W818">
        <v>131705</v>
      </c>
      <c r="X818">
        <v>142308</v>
      </c>
      <c r="Y818">
        <v>0.93</v>
      </c>
      <c r="Z818">
        <v>555</v>
      </c>
      <c r="AA818">
        <v>7326</v>
      </c>
      <c r="AB818" t="s">
        <v>31</v>
      </c>
    </row>
    <row r="819" spans="1:28">
      <c r="A819" t="str">
        <f>"601100"</f>
        <v>601100</v>
      </c>
      <c r="B819" t="s">
        <v>984</v>
      </c>
      <c r="C819">
        <v>1.48</v>
      </c>
      <c r="D819">
        <v>9.58</v>
      </c>
      <c r="E819">
        <v>0.14000000000000001</v>
      </c>
      <c r="F819">
        <v>9.57</v>
      </c>
      <c r="G819">
        <v>9.58</v>
      </c>
      <c r="H819">
        <v>28231</v>
      </c>
      <c r="I819">
        <v>11</v>
      </c>
      <c r="J819">
        <v>0.31</v>
      </c>
      <c r="K819">
        <v>1.79</v>
      </c>
      <c r="L819">
        <v>9.4</v>
      </c>
      <c r="M819">
        <v>9.69</v>
      </c>
      <c r="N819">
        <v>9.34</v>
      </c>
      <c r="O819">
        <v>9.44</v>
      </c>
      <c r="P819">
        <v>21.92</v>
      </c>
      <c r="Q819">
        <v>26827198</v>
      </c>
      <c r="R819">
        <v>0.35</v>
      </c>
      <c r="S819" t="s">
        <v>75</v>
      </c>
      <c r="T819" t="s">
        <v>120</v>
      </c>
      <c r="U819">
        <v>3.71</v>
      </c>
      <c r="V819">
        <v>9.5</v>
      </c>
      <c r="W819">
        <v>13436</v>
      </c>
      <c r="X819">
        <v>14795</v>
      </c>
      <c r="Y819">
        <v>0.91</v>
      </c>
      <c r="Z819">
        <v>10</v>
      </c>
      <c r="AA819">
        <v>343</v>
      </c>
      <c r="AB819" t="s">
        <v>31</v>
      </c>
    </row>
    <row r="820" spans="1:28">
      <c r="A820" t="str">
        <f>"601101"</f>
        <v>601101</v>
      </c>
      <c r="B820" t="s">
        <v>985</v>
      </c>
      <c r="C820">
        <v>1.1599999999999999</v>
      </c>
      <c r="D820">
        <v>7.87</v>
      </c>
      <c r="E820">
        <v>0.09</v>
      </c>
      <c r="F820">
        <v>7.87</v>
      </c>
      <c r="G820">
        <v>7.88</v>
      </c>
      <c r="H820">
        <v>43628</v>
      </c>
      <c r="I820">
        <v>60</v>
      </c>
      <c r="J820">
        <v>-0.12</v>
      </c>
      <c r="K820">
        <v>0.36</v>
      </c>
      <c r="L820">
        <v>7.83</v>
      </c>
      <c r="M820">
        <v>7.95</v>
      </c>
      <c r="N820">
        <v>7.74</v>
      </c>
      <c r="O820">
        <v>7.78</v>
      </c>
      <c r="P820">
        <v>14.79</v>
      </c>
      <c r="Q820">
        <v>34234384</v>
      </c>
      <c r="R820">
        <v>0.61</v>
      </c>
      <c r="S820" t="s">
        <v>208</v>
      </c>
      <c r="T820" t="s">
        <v>42</v>
      </c>
      <c r="U820">
        <v>2.7</v>
      </c>
      <c r="V820">
        <v>7.85</v>
      </c>
      <c r="W820">
        <v>24334</v>
      </c>
      <c r="X820">
        <v>19294</v>
      </c>
      <c r="Y820">
        <v>1.26</v>
      </c>
      <c r="Z820">
        <v>20</v>
      </c>
      <c r="AA820">
        <v>349</v>
      </c>
      <c r="AB820" t="s">
        <v>31</v>
      </c>
    </row>
    <row r="821" spans="1:28">
      <c r="A821" t="str">
        <f>"601106"</f>
        <v>601106</v>
      </c>
      <c r="B821" t="s">
        <v>986</v>
      </c>
      <c r="C821">
        <v>1.38</v>
      </c>
      <c r="D821">
        <v>2.2000000000000002</v>
      </c>
      <c r="E821">
        <v>0.03</v>
      </c>
      <c r="F821">
        <v>2.2000000000000002</v>
      </c>
      <c r="G821">
        <v>2.21</v>
      </c>
      <c r="H821">
        <v>141331</v>
      </c>
      <c r="I821">
        <v>15</v>
      </c>
      <c r="J821">
        <v>0</v>
      </c>
      <c r="K821">
        <v>0.22</v>
      </c>
      <c r="L821">
        <v>2.16</v>
      </c>
      <c r="M821">
        <v>2.2200000000000002</v>
      </c>
      <c r="N821">
        <v>2.15</v>
      </c>
      <c r="O821">
        <v>2.17</v>
      </c>
      <c r="P821" t="s">
        <v>31</v>
      </c>
      <c r="Q821">
        <v>30865946</v>
      </c>
      <c r="R821">
        <v>0.86</v>
      </c>
      <c r="S821" t="s">
        <v>75</v>
      </c>
      <c r="T821" t="s">
        <v>85</v>
      </c>
      <c r="U821">
        <v>3.23</v>
      </c>
      <c r="V821">
        <v>2.1800000000000002</v>
      </c>
      <c r="W821">
        <v>67019</v>
      </c>
      <c r="X821">
        <v>74312</v>
      </c>
      <c r="Y821">
        <v>0.9</v>
      </c>
      <c r="Z821">
        <v>2121</v>
      </c>
      <c r="AA821">
        <v>5467</v>
      </c>
      <c r="AB821" t="s">
        <v>31</v>
      </c>
    </row>
    <row r="822" spans="1:28">
      <c r="A822" t="str">
        <f>"601107"</f>
        <v>601107</v>
      </c>
      <c r="B822" t="s">
        <v>987</v>
      </c>
      <c r="C822">
        <v>2.71</v>
      </c>
      <c r="D822">
        <v>3.03</v>
      </c>
      <c r="E822">
        <v>0.08</v>
      </c>
      <c r="F822">
        <v>3.02</v>
      </c>
      <c r="G822">
        <v>3.03</v>
      </c>
      <c r="H822">
        <v>103936</v>
      </c>
      <c r="I822">
        <v>50</v>
      </c>
      <c r="J822">
        <v>0</v>
      </c>
      <c r="K822">
        <v>0.48</v>
      </c>
      <c r="L822">
        <v>2.94</v>
      </c>
      <c r="M822">
        <v>3.03</v>
      </c>
      <c r="N822">
        <v>2.92</v>
      </c>
      <c r="O822">
        <v>2.95</v>
      </c>
      <c r="P822">
        <v>9.73</v>
      </c>
      <c r="Q822">
        <v>31006960</v>
      </c>
      <c r="R822">
        <v>0.31</v>
      </c>
      <c r="S822" t="s">
        <v>51</v>
      </c>
      <c r="T822" t="s">
        <v>88</v>
      </c>
      <c r="U822">
        <v>3.73</v>
      </c>
      <c r="V822">
        <v>2.98</v>
      </c>
      <c r="W822">
        <v>47975</v>
      </c>
      <c r="X822">
        <v>55961</v>
      </c>
      <c r="Y822">
        <v>0.86</v>
      </c>
      <c r="Z822">
        <v>357</v>
      </c>
      <c r="AA822">
        <v>775</v>
      </c>
      <c r="AB822" t="s">
        <v>31</v>
      </c>
    </row>
    <row r="823" spans="1:28">
      <c r="A823" t="str">
        <f>"601111"</f>
        <v>601111</v>
      </c>
      <c r="B823" t="s">
        <v>988</v>
      </c>
      <c r="C823">
        <v>2.06</v>
      </c>
      <c r="D823">
        <v>3.97</v>
      </c>
      <c r="E823">
        <v>0.08</v>
      </c>
      <c r="F823">
        <v>3.96</v>
      </c>
      <c r="G823">
        <v>3.97</v>
      </c>
      <c r="H823">
        <v>191664</v>
      </c>
      <c r="I823">
        <v>7</v>
      </c>
      <c r="J823">
        <v>0.25</v>
      </c>
      <c r="K823">
        <v>0.23</v>
      </c>
      <c r="L823">
        <v>3.9</v>
      </c>
      <c r="M823">
        <v>3.98</v>
      </c>
      <c r="N823">
        <v>3.88</v>
      </c>
      <c r="O823">
        <v>3.89</v>
      </c>
      <c r="P823">
        <v>23.21</v>
      </c>
      <c r="Q823">
        <v>75629392</v>
      </c>
      <c r="R823">
        <v>1.07</v>
      </c>
      <c r="S823" t="s">
        <v>70</v>
      </c>
      <c r="T823" t="s">
        <v>42</v>
      </c>
      <c r="U823">
        <v>2.57</v>
      </c>
      <c r="V823">
        <v>3.95</v>
      </c>
      <c r="W823">
        <v>75366</v>
      </c>
      <c r="X823">
        <v>116298</v>
      </c>
      <c r="Y823">
        <v>0.65</v>
      </c>
      <c r="Z823">
        <v>4318</v>
      </c>
      <c r="AA823">
        <v>2868</v>
      </c>
      <c r="AB823" t="s">
        <v>31</v>
      </c>
    </row>
    <row r="824" spans="1:28">
      <c r="A824" t="str">
        <f>"601113"</f>
        <v>601113</v>
      </c>
      <c r="B824" t="s">
        <v>989</v>
      </c>
      <c r="C824">
        <v>1.25</v>
      </c>
      <c r="D824">
        <v>4.04</v>
      </c>
      <c r="E824">
        <v>0.05</v>
      </c>
      <c r="F824">
        <v>4.03</v>
      </c>
      <c r="G824">
        <v>4.04</v>
      </c>
      <c r="H824">
        <v>28013</v>
      </c>
      <c r="I824">
        <v>15</v>
      </c>
      <c r="J824">
        <v>0.24</v>
      </c>
      <c r="K824">
        <v>0.92</v>
      </c>
      <c r="L824">
        <v>4</v>
      </c>
      <c r="M824">
        <v>4.05</v>
      </c>
      <c r="N824">
        <v>3.96</v>
      </c>
      <c r="O824">
        <v>3.99</v>
      </c>
      <c r="P824">
        <v>33.39</v>
      </c>
      <c r="Q824">
        <v>11238198</v>
      </c>
      <c r="R824">
        <v>0.39</v>
      </c>
      <c r="S824" t="s">
        <v>115</v>
      </c>
      <c r="T824" t="s">
        <v>95</v>
      </c>
      <c r="U824">
        <v>2.2599999999999998</v>
      </c>
      <c r="V824">
        <v>4.01</v>
      </c>
      <c r="W824">
        <v>13644</v>
      </c>
      <c r="X824">
        <v>14369</v>
      </c>
      <c r="Y824">
        <v>0.95</v>
      </c>
      <c r="Z824">
        <v>136</v>
      </c>
      <c r="AA824">
        <v>53</v>
      </c>
      <c r="AB824" t="s">
        <v>31</v>
      </c>
    </row>
    <row r="825" spans="1:28">
      <c r="A825" t="str">
        <f>"601116"</f>
        <v>601116</v>
      </c>
      <c r="B825" t="s">
        <v>990</v>
      </c>
      <c r="C825">
        <v>1.33</v>
      </c>
      <c r="D825">
        <v>9.92</v>
      </c>
      <c r="E825">
        <v>0.13</v>
      </c>
      <c r="F825">
        <v>9.85</v>
      </c>
      <c r="G825">
        <v>9.9499999999999993</v>
      </c>
      <c r="H825">
        <v>5722</v>
      </c>
      <c r="I825">
        <v>300</v>
      </c>
      <c r="J825">
        <v>1.01</v>
      </c>
      <c r="K825">
        <v>0.95</v>
      </c>
      <c r="L825">
        <v>9.83</v>
      </c>
      <c r="M825">
        <v>9.9700000000000006</v>
      </c>
      <c r="N825">
        <v>9.6300000000000008</v>
      </c>
      <c r="O825">
        <v>9.7899999999999991</v>
      </c>
      <c r="P825">
        <v>27.69</v>
      </c>
      <c r="Q825">
        <v>5619224</v>
      </c>
      <c r="R825">
        <v>0.3</v>
      </c>
      <c r="S825" t="s">
        <v>453</v>
      </c>
      <c r="T825" t="s">
        <v>95</v>
      </c>
      <c r="U825">
        <v>3.47</v>
      </c>
      <c r="V825">
        <v>9.82</v>
      </c>
      <c r="W825">
        <v>2873</v>
      </c>
      <c r="X825">
        <v>2849</v>
      </c>
      <c r="Y825">
        <v>1.01</v>
      </c>
      <c r="Z825">
        <v>44</v>
      </c>
      <c r="AA825">
        <v>70</v>
      </c>
      <c r="AB825" t="s">
        <v>31</v>
      </c>
    </row>
    <row r="826" spans="1:28">
      <c r="A826" t="str">
        <f>"601117"</f>
        <v>601117</v>
      </c>
      <c r="B826" t="s">
        <v>991</v>
      </c>
      <c r="C826">
        <v>1.26</v>
      </c>
      <c r="D826">
        <v>7.23</v>
      </c>
      <c r="E826">
        <v>0.09</v>
      </c>
      <c r="F826">
        <v>7.22</v>
      </c>
      <c r="G826">
        <v>7.23</v>
      </c>
      <c r="H826">
        <v>228108</v>
      </c>
      <c r="I826">
        <v>40</v>
      </c>
      <c r="J826">
        <v>0</v>
      </c>
      <c r="K826">
        <v>0.46</v>
      </c>
      <c r="L826">
        <v>7.17</v>
      </c>
      <c r="M826">
        <v>7.24</v>
      </c>
      <c r="N826">
        <v>7.09</v>
      </c>
      <c r="O826">
        <v>7.14</v>
      </c>
      <c r="P826">
        <v>10.74</v>
      </c>
      <c r="Q826">
        <v>163917952</v>
      </c>
      <c r="R826">
        <v>0.71</v>
      </c>
      <c r="S826" t="s">
        <v>87</v>
      </c>
      <c r="T826" t="s">
        <v>42</v>
      </c>
      <c r="U826">
        <v>2.1</v>
      </c>
      <c r="V826">
        <v>7.19</v>
      </c>
      <c r="W826">
        <v>118158</v>
      </c>
      <c r="X826">
        <v>109950</v>
      </c>
      <c r="Y826">
        <v>1.07</v>
      </c>
      <c r="Z826">
        <v>1331</v>
      </c>
      <c r="AA826">
        <v>499</v>
      </c>
      <c r="AB826" t="s">
        <v>31</v>
      </c>
    </row>
    <row r="827" spans="1:28">
      <c r="A827" t="str">
        <f>"601118"</f>
        <v>601118</v>
      </c>
      <c r="B827" t="s">
        <v>992</v>
      </c>
      <c r="C827">
        <v>-1.78</v>
      </c>
      <c r="D827">
        <v>8.84</v>
      </c>
      <c r="E827">
        <v>-0.16</v>
      </c>
      <c r="F827">
        <v>8.85</v>
      </c>
      <c r="G827">
        <v>8.86</v>
      </c>
      <c r="H827">
        <v>973599</v>
      </c>
      <c r="I827">
        <v>125</v>
      </c>
      <c r="J827">
        <v>-0.22</v>
      </c>
      <c r="K827">
        <v>9.8800000000000008</v>
      </c>
      <c r="L827">
        <v>8.6999999999999993</v>
      </c>
      <c r="M827">
        <v>9.15</v>
      </c>
      <c r="N827">
        <v>8.61</v>
      </c>
      <c r="O827">
        <v>9</v>
      </c>
      <c r="P827">
        <v>124.1</v>
      </c>
      <c r="Q827">
        <v>865590016</v>
      </c>
      <c r="R827">
        <v>0.8</v>
      </c>
      <c r="S827" t="s">
        <v>993</v>
      </c>
      <c r="T827" t="s">
        <v>302</v>
      </c>
      <c r="U827">
        <v>6</v>
      </c>
      <c r="V827">
        <v>8.89</v>
      </c>
      <c r="W827">
        <v>500058</v>
      </c>
      <c r="X827">
        <v>473541</v>
      </c>
      <c r="Y827">
        <v>1.06</v>
      </c>
      <c r="Z827">
        <v>249</v>
      </c>
      <c r="AA827">
        <v>923</v>
      </c>
      <c r="AB827" t="s">
        <v>31</v>
      </c>
    </row>
    <row r="828" spans="1:28">
      <c r="A828" t="str">
        <f>"601126"</f>
        <v>601126</v>
      </c>
      <c r="B828" t="s">
        <v>994</v>
      </c>
      <c r="C828">
        <v>2.67</v>
      </c>
      <c r="D828">
        <v>18.46</v>
      </c>
      <c r="E828">
        <v>0.48</v>
      </c>
      <c r="F828">
        <v>18.440000000000001</v>
      </c>
      <c r="G828">
        <v>18.45</v>
      </c>
      <c r="H828">
        <v>20297</v>
      </c>
      <c r="I828">
        <v>5</v>
      </c>
      <c r="J828">
        <v>0.05</v>
      </c>
      <c r="K828">
        <v>1.32</v>
      </c>
      <c r="L828">
        <v>17.850000000000001</v>
      </c>
      <c r="M828">
        <v>18.77</v>
      </c>
      <c r="N828">
        <v>17.690000000000001</v>
      </c>
      <c r="O828">
        <v>17.98</v>
      </c>
      <c r="P828">
        <v>31.36</v>
      </c>
      <c r="Q828">
        <v>37448008</v>
      </c>
      <c r="R828">
        <v>2.06</v>
      </c>
      <c r="S828" t="s">
        <v>161</v>
      </c>
      <c r="T828" t="s">
        <v>42</v>
      </c>
      <c r="U828">
        <v>6.01</v>
      </c>
      <c r="V828">
        <v>18.45</v>
      </c>
      <c r="W828">
        <v>10775</v>
      </c>
      <c r="X828">
        <v>9522</v>
      </c>
      <c r="Y828">
        <v>1.1299999999999999</v>
      </c>
      <c r="Z828">
        <v>42</v>
      </c>
      <c r="AA828">
        <v>5</v>
      </c>
      <c r="AB828" t="s">
        <v>31</v>
      </c>
    </row>
    <row r="829" spans="1:28">
      <c r="A829" t="str">
        <f>"601137"</f>
        <v>601137</v>
      </c>
      <c r="B829" t="s">
        <v>995</v>
      </c>
      <c r="C829">
        <v>0.51</v>
      </c>
      <c r="D829">
        <v>13.73</v>
      </c>
      <c r="E829">
        <v>7.0000000000000007E-2</v>
      </c>
      <c r="F829">
        <v>13.72</v>
      </c>
      <c r="G829">
        <v>13.76</v>
      </c>
      <c r="H829">
        <v>1905</v>
      </c>
      <c r="I829">
        <v>103</v>
      </c>
      <c r="J829">
        <v>-0.28999999999999998</v>
      </c>
      <c r="K829">
        <v>0.2</v>
      </c>
      <c r="L829">
        <v>13.64</v>
      </c>
      <c r="M829">
        <v>13.77</v>
      </c>
      <c r="N829">
        <v>13.58</v>
      </c>
      <c r="O829">
        <v>13.66</v>
      </c>
      <c r="P829">
        <v>37.28</v>
      </c>
      <c r="Q829">
        <v>2608564</v>
      </c>
      <c r="R829">
        <v>0.31</v>
      </c>
      <c r="S829" t="s">
        <v>230</v>
      </c>
      <c r="T829" t="s">
        <v>95</v>
      </c>
      <c r="U829">
        <v>1.39</v>
      </c>
      <c r="V829">
        <v>13.69</v>
      </c>
      <c r="W829">
        <v>862</v>
      </c>
      <c r="X829">
        <v>1043</v>
      </c>
      <c r="Y829">
        <v>0.83</v>
      </c>
      <c r="Z829">
        <v>62</v>
      </c>
      <c r="AA829">
        <v>12</v>
      </c>
      <c r="AB829" t="s">
        <v>31</v>
      </c>
    </row>
    <row r="830" spans="1:28">
      <c r="A830" t="str">
        <f>"601139"</f>
        <v>601139</v>
      </c>
      <c r="B830" t="s">
        <v>996</v>
      </c>
      <c r="C830">
        <v>1.46</v>
      </c>
      <c r="D830">
        <v>8.33</v>
      </c>
      <c r="E830">
        <v>0.12</v>
      </c>
      <c r="F830">
        <v>8.33</v>
      </c>
      <c r="G830">
        <v>8.34</v>
      </c>
      <c r="H830">
        <v>33012</v>
      </c>
      <c r="I830">
        <v>9</v>
      </c>
      <c r="J830">
        <v>-0.11</v>
      </c>
      <c r="K830">
        <v>0.17</v>
      </c>
      <c r="L830">
        <v>8.17</v>
      </c>
      <c r="M830">
        <v>8.3800000000000008</v>
      </c>
      <c r="N830">
        <v>8.16</v>
      </c>
      <c r="O830">
        <v>8.2100000000000009</v>
      </c>
      <c r="P830">
        <v>20.78</v>
      </c>
      <c r="Q830">
        <v>27400244</v>
      </c>
      <c r="R830">
        <v>0.56000000000000005</v>
      </c>
      <c r="S830" t="s">
        <v>257</v>
      </c>
      <c r="T830" t="s">
        <v>73</v>
      </c>
      <c r="U830">
        <v>2.68</v>
      </c>
      <c r="V830">
        <v>8.3000000000000007</v>
      </c>
      <c r="W830">
        <v>15029</v>
      </c>
      <c r="X830">
        <v>17983</v>
      </c>
      <c r="Y830">
        <v>0.84</v>
      </c>
      <c r="Z830">
        <v>55</v>
      </c>
      <c r="AA830">
        <v>120</v>
      </c>
      <c r="AB830" t="s">
        <v>31</v>
      </c>
    </row>
    <row r="831" spans="1:28">
      <c r="A831" t="str">
        <f>"601158"</f>
        <v>601158</v>
      </c>
      <c r="B831" t="s">
        <v>997</v>
      </c>
      <c r="C831">
        <v>1.1599999999999999</v>
      </c>
      <c r="D831">
        <v>6.09</v>
      </c>
      <c r="E831">
        <v>7.0000000000000007E-2</v>
      </c>
      <c r="F831">
        <v>6.08</v>
      </c>
      <c r="G831">
        <v>6.09</v>
      </c>
      <c r="H831">
        <v>107811</v>
      </c>
      <c r="I831">
        <v>5</v>
      </c>
      <c r="J831">
        <v>0.16</v>
      </c>
      <c r="K831">
        <v>0.22</v>
      </c>
      <c r="L831">
        <v>6</v>
      </c>
      <c r="M831">
        <v>6.1</v>
      </c>
      <c r="N831">
        <v>5.9</v>
      </c>
      <c r="O831">
        <v>6.02</v>
      </c>
      <c r="P831">
        <v>14.03</v>
      </c>
      <c r="Q831">
        <v>64880584</v>
      </c>
      <c r="R831">
        <v>0.76</v>
      </c>
      <c r="S831" t="s">
        <v>259</v>
      </c>
      <c r="T831" t="s">
        <v>184</v>
      </c>
      <c r="U831">
        <v>3.32</v>
      </c>
      <c r="V831">
        <v>6.02</v>
      </c>
      <c r="W831">
        <v>57932</v>
      </c>
      <c r="X831">
        <v>49879</v>
      </c>
      <c r="Y831">
        <v>1.1599999999999999</v>
      </c>
      <c r="Z831">
        <v>67</v>
      </c>
      <c r="AA831">
        <v>175</v>
      </c>
      <c r="AB831" t="s">
        <v>31</v>
      </c>
    </row>
    <row r="832" spans="1:28">
      <c r="A832" t="str">
        <f>"601166"</f>
        <v>601166</v>
      </c>
      <c r="B832" t="s">
        <v>998</v>
      </c>
      <c r="C832">
        <v>0.5</v>
      </c>
      <c r="D832">
        <v>12.15</v>
      </c>
      <c r="E832">
        <v>0.06</v>
      </c>
      <c r="F832">
        <v>12.14</v>
      </c>
      <c r="G832">
        <v>12.15</v>
      </c>
      <c r="H832">
        <v>1625512</v>
      </c>
      <c r="I832">
        <v>86</v>
      </c>
      <c r="J832">
        <v>-0.08</v>
      </c>
      <c r="K832">
        <v>1</v>
      </c>
      <c r="L832">
        <v>12</v>
      </c>
      <c r="M832">
        <v>12.17</v>
      </c>
      <c r="N832">
        <v>11.83</v>
      </c>
      <c r="O832">
        <v>12.09</v>
      </c>
      <c r="P832">
        <v>5.35</v>
      </c>
      <c r="Q832">
        <v>1956649600</v>
      </c>
      <c r="R832">
        <v>1.1499999999999999</v>
      </c>
      <c r="S832" t="s">
        <v>29</v>
      </c>
      <c r="T832" t="s">
        <v>78</v>
      </c>
      <c r="U832">
        <v>2.81</v>
      </c>
      <c r="V832">
        <v>12.04</v>
      </c>
      <c r="W832">
        <v>741341</v>
      </c>
      <c r="X832">
        <v>884171</v>
      </c>
      <c r="Y832">
        <v>0.84</v>
      </c>
      <c r="Z832">
        <v>1699</v>
      </c>
      <c r="AA832">
        <v>1211</v>
      </c>
      <c r="AB832" t="s">
        <v>31</v>
      </c>
    </row>
    <row r="833" spans="1:28">
      <c r="A833" t="str">
        <f>"601168"</f>
        <v>601168</v>
      </c>
      <c r="B833" t="s">
        <v>999</v>
      </c>
      <c r="C833">
        <v>1.05</v>
      </c>
      <c r="D833">
        <v>5.79</v>
      </c>
      <c r="E833">
        <v>0.06</v>
      </c>
      <c r="F833">
        <v>5.79</v>
      </c>
      <c r="G833">
        <v>5.8</v>
      </c>
      <c r="H833">
        <v>103985</v>
      </c>
      <c r="I833">
        <v>100</v>
      </c>
      <c r="J833">
        <v>-0.17</v>
      </c>
      <c r="K833">
        <v>0.44</v>
      </c>
      <c r="L833">
        <v>5.76</v>
      </c>
      <c r="M833">
        <v>5.81</v>
      </c>
      <c r="N833">
        <v>5.71</v>
      </c>
      <c r="O833">
        <v>5.73</v>
      </c>
      <c r="P833">
        <v>49.94</v>
      </c>
      <c r="Q833">
        <v>59949932</v>
      </c>
      <c r="R833">
        <v>0.98</v>
      </c>
      <c r="S833" t="s">
        <v>230</v>
      </c>
      <c r="T833" t="s">
        <v>203</v>
      </c>
      <c r="U833">
        <v>1.75</v>
      </c>
      <c r="V833">
        <v>5.77</v>
      </c>
      <c r="W833">
        <v>59990</v>
      </c>
      <c r="X833">
        <v>43995</v>
      </c>
      <c r="Y833">
        <v>1.36</v>
      </c>
      <c r="Z833">
        <v>325</v>
      </c>
      <c r="AA833">
        <v>545</v>
      </c>
      <c r="AB833" t="s">
        <v>31</v>
      </c>
    </row>
    <row r="834" spans="1:28">
      <c r="A834" t="str">
        <f>"601169"</f>
        <v>601169</v>
      </c>
      <c r="B834" t="s">
        <v>1000</v>
      </c>
      <c r="C834">
        <v>0.48</v>
      </c>
      <c r="D834">
        <v>8.36</v>
      </c>
      <c r="E834">
        <v>0.04</v>
      </c>
      <c r="F834">
        <v>8.36</v>
      </c>
      <c r="G834">
        <v>8.3699999999999992</v>
      </c>
      <c r="H834">
        <v>311667</v>
      </c>
      <c r="I834">
        <v>23</v>
      </c>
      <c r="J834">
        <v>-0.23</v>
      </c>
      <c r="K834">
        <v>0.42</v>
      </c>
      <c r="L834">
        <v>8.3000000000000007</v>
      </c>
      <c r="M834">
        <v>8.4</v>
      </c>
      <c r="N834">
        <v>8.2200000000000006</v>
      </c>
      <c r="O834">
        <v>8.32</v>
      </c>
      <c r="P834">
        <v>4.72</v>
      </c>
      <c r="Q834">
        <v>258931888</v>
      </c>
      <c r="R834">
        <v>0.85</v>
      </c>
      <c r="S834" t="s">
        <v>29</v>
      </c>
      <c r="T834" t="s">
        <v>42</v>
      </c>
      <c r="U834">
        <v>2.16</v>
      </c>
      <c r="V834">
        <v>8.31</v>
      </c>
      <c r="W834">
        <v>146175</v>
      </c>
      <c r="X834">
        <v>165492</v>
      </c>
      <c r="Y834">
        <v>0.88</v>
      </c>
      <c r="Z834">
        <v>154</v>
      </c>
      <c r="AA834">
        <v>884</v>
      </c>
      <c r="AB834" t="s">
        <v>31</v>
      </c>
    </row>
    <row r="835" spans="1:28">
      <c r="A835" t="str">
        <f>"601177"</f>
        <v>601177</v>
      </c>
      <c r="B835" t="s">
        <v>1001</v>
      </c>
      <c r="C835">
        <v>2.5299999999999998</v>
      </c>
      <c r="D835">
        <v>6.89</v>
      </c>
      <c r="E835">
        <v>0.17</v>
      </c>
      <c r="F835">
        <v>6.89</v>
      </c>
      <c r="G835">
        <v>6.91</v>
      </c>
      <c r="H835">
        <v>8941</v>
      </c>
      <c r="I835">
        <v>15</v>
      </c>
      <c r="J835">
        <v>-0.28000000000000003</v>
      </c>
      <c r="K835">
        <v>0.41</v>
      </c>
      <c r="L835">
        <v>6.78</v>
      </c>
      <c r="M835">
        <v>6.93</v>
      </c>
      <c r="N835">
        <v>6.7</v>
      </c>
      <c r="O835">
        <v>6.72</v>
      </c>
      <c r="P835">
        <v>77.53</v>
      </c>
      <c r="Q835">
        <v>6085564</v>
      </c>
      <c r="R835">
        <v>0.76</v>
      </c>
      <c r="S835" t="s">
        <v>198</v>
      </c>
      <c r="T835" t="s">
        <v>95</v>
      </c>
      <c r="U835">
        <v>3.42</v>
      </c>
      <c r="V835">
        <v>6.81</v>
      </c>
      <c r="W835">
        <v>3239</v>
      </c>
      <c r="X835">
        <v>5702</v>
      </c>
      <c r="Y835">
        <v>0.56999999999999995</v>
      </c>
      <c r="Z835">
        <v>136</v>
      </c>
      <c r="AA835">
        <v>102</v>
      </c>
      <c r="AB835" t="s">
        <v>31</v>
      </c>
    </row>
    <row r="836" spans="1:28">
      <c r="A836" t="str">
        <f>"601179"</f>
        <v>601179</v>
      </c>
      <c r="B836" t="s">
        <v>1002</v>
      </c>
      <c r="C836">
        <v>1.52</v>
      </c>
      <c r="D836">
        <v>3.34</v>
      </c>
      <c r="E836">
        <v>0.05</v>
      </c>
      <c r="F836">
        <v>3.34</v>
      </c>
      <c r="G836">
        <v>3.35</v>
      </c>
      <c r="H836">
        <v>91872</v>
      </c>
      <c r="I836">
        <v>147</v>
      </c>
      <c r="J836">
        <v>0</v>
      </c>
      <c r="K836">
        <v>0.21</v>
      </c>
      <c r="L836">
        <v>3.29</v>
      </c>
      <c r="M836">
        <v>3.35</v>
      </c>
      <c r="N836">
        <v>3.26</v>
      </c>
      <c r="O836">
        <v>3.29</v>
      </c>
      <c r="P836">
        <v>66.08</v>
      </c>
      <c r="Q836">
        <v>30510152</v>
      </c>
      <c r="R836">
        <v>0.78</v>
      </c>
      <c r="S836" t="s">
        <v>161</v>
      </c>
      <c r="T836" t="s">
        <v>147</v>
      </c>
      <c r="U836">
        <v>2.74</v>
      </c>
      <c r="V836">
        <v>3.32</v>
      </c>
      <c r="W836">
        <v>45597</v>
      </c>
      <c r="X836">
        <v>46275</v>
      </c>
      <c r="Y836">
        <v>0.99</v>
      </c>
      <c r="Z836">
        <v>124</v>
      </c>
      <c r="AA836">
        <v>3246</v>
      </c>
      <c r="AB836" t="s">
        <v>31</v>
      </c>
    </row>
    <row r="837" spans="1:28">
      <c r="A837" t="str">
        <f>"601186"</f>
        <v>601186</v>
      </c>
      <c r="B837" t="s">
        <v>1003</v>
      </c>
      <c r="C837">
        <v>3.19</v>
      </c>
      <c r="D837">
        <v>5.18</v>
      </c>
      <c r="E837">
        <v>0.16</v>
      </c>
      <c r="F837">
        <v>5.17</v>
      </c>
      <c r="G837">
        <v>5.18</v>
      </c>
      <c r="H837">
        <v>338094</v>
      </c>
      <c r="I837">
        <v>28</v>
      </c>
      <c r="J837">
        <v>0</v>
      </c>
      <c r="K837">
        <v>0.34</v>
      </c>
      <c r="L837">
        <v>5.01</v>
      </c>
      <c r="M837">
        <v>5.2</v>
      </c>
      <c r="N837">
        <v>5</v>
      </c>
      <c r="O837">
        <v>5.0199999999999996</v>
      </c>
      <c r="P837">
        <v>6.84</v>
      </c>
      <c r="Q837">
        <v>172882272</v>
      </c>
      <c r="R837">
        <v>1.58</v>
      </c>
      <c r="S837" t="s">
        <v>87</v>
      </c>
      <c r="T837" t="s">
        <v>42</v>
      </c>
      <c r="U837">
        <v>3.98</v>
      </c>
      <c r="V837">
        <v>5.1100000000000003</v>
      </c>
      <c r="W837">
        <v>141528</v>
      </c>
      <c r="X837">
        <v>196566</v>
      </c>
      <c r="Y837">
        <v>0.72</v>
      </c>
      <c r="Z837">
        <v>1997</v>
      </c>
      <c r="AA837">
        <v>228</v>
      </c>
      <c r="AB837" t="s">
        <v>31</v>
      </c>
    </row>
    <row r="838" spans="1:28">
      <c r="A838" t="str">
        <f>"601188"</f>
        <v>601188</v>
      </c>
      <c r="B838" t="s">
        <v>1004</v>
      </c>
      <c r="C838">
        <v>1.71</v>
      </c>
      <c r="D838">
        <v>2.38</v>
      </c>
      <c r="E838">
        <v>0.04</v>
      </c>
      <c r="F838">
        <v>2.37</v>
      </c>
      <c r="G838">
        <v>2.38</v>
      </c>
      <c r="H838">
        <v>15946</v>
      </c>
      <c r="I838">
        <v>152</v>
      </c>
      <c r="J838">
        <v>0.42</v>
      </c>
      <c r="K838">
        <v>0.13</v>
      </c>
      <c r="L838">
        <v>2.3199999999999998</v>
      </c>
      <c r="M838">
        <v>2.38</v>
      </c>
      <c r="N838">
        <v>2.3199999999999998</v>
      </c>
      <c r="O838">
        <v>2.34</v>
      </c>
      <c r="P838">
        <v>18.489999999999998</v>
      </c>
      <c r="Q838">
        <v>3757718</v>
      </c>
      <c r="R838">
        <v>0.5</v>
      </c>
      <c r="S838" t="s">
        <v>51</v>
      </c>
      <c r="T838" t="s">
        <v>85</v>
      </c>
      <c r="U838">
        <v>2.56</v>
      </c>
      <c r="V838">
        <v>2.36</v>
      </c>
      <c r="W838">
        <v>5526</v>
      </c>
      <c r="X838">
        <v>10420</v>
      </c>
      <c r="Y838">
        <v>0.53</v>
      </c>
      <c r="Z838">
        <v>1725</v>
      </c>
      <c r="AA838">
        <v>1262</v>
      </c>
      <c r="AB838" t="s">
        <v>31</v>
      </c>
    </row>
    <row r="839" spans="1:28">
      <c r="A839" t="str">
        <f>"601199"</f>
        <v>601199</v>
      </c>
      <c r="B839" t="s">
        <v>1005</v>
      </c>
      <c r="C839">
        <v>1.47</v>
      </c>
      <c r="D839">
        <v>15.16</v>
      </c>
      <c r="E839">
        <v>0.22</v>
      </c>
      <c r="F839">
        <v>15.16</v>
      </c>
      <c r="G839">
        <v>15.18</v>
      </c>
      <c r="H839">
        <v>31880</v>
      </c>
      <c r="I839">
        <v>34</v>
      </c>
      <c r="J839">
        <v>0.06</v>
      </c>
      <c r="K839">
        <v>3.96</v>
      </c>
      <c r="L839">
        <v>14.97</v>
      </c>
      <c r="M839">
        <v>15.22</v>
      </c>
      <c r="N839">
        <v>14.76</v>
      </c>
      <c r="O839">
        <v>14.94</v>
      </c>
      <c r="P839">
        <v>27.12</v>
      </c>
      <c r="Q839">
        <v>48045972</v>
      </c>
      <c r="R839">
        <v>0.54</v>
      </c>
      <c r="S839" t="s">
        <v>259</v>
      </c>
      <c r="T839" t="s">
        <v>120</v>
      </c>
      <c r="U839">
        <v>3.08</v>
      </c>
      <c r="V839">
        <v>15.07</v>
      </c>
      <c r="W839">
        <v>15944</v>
      </c>
      <c r="X839">
        <v>15936</v>
      </c>
      <c r="Y839">
        <v>1</v>
      </c>
      <c r="Z839">
        <v>32</v>
      </c>
      <c r="AA839">
        <v>120</v>
      </c>
      <c r="AB839" t="s">
        <v>31</v>
      </c>
    </row>
    <row r="840" spans="1:28">
      <c r="A840" t="str">
        <f>"601208"</f>
        <v>601208</v>
      </c>
      <c r="B840" t="s">
        <v>1006</v>
      </c>
      <c r="C840">
        <v>1.76</v>
      </c>
      <c r="D840">
        <v>6.35</v>
      </c>
      <c r="E840">
        <v>0.11</v>
      </c>
      <c r="F840">
        <v>6.33</v>
      </c>
      <c r="G840">
        <v>6.34</v>
      </c>
      <c r="H840">
        <v>21071</v>
      </c>
      <c r="I840">
        <v>21</v>
      </c>
      <c r="J840">
        <v>0</v>
      </c>
      <c r="K840">
        <v>0.66</v>
      </c>
      <c r="L840">
        <v>6.28</v>
      </c>
      <c r="M840">
        <v>6.35</v>
      </c>
      <c r="N840">
        <v>6.24</v>
      </c>
      <c r="O840">
        <v>6.24</v>
      </c>
      <c r="P840">
        <v>48.43</v>
      </c>
      <c r="Q840">
        <v>13271415</v>
      </c>
      <c r="R840">
        <v>0.44</v>
      </c>
      <c r="S840" t="s">
        <v>137</v>
      </c>
      <c r="T840" t="s">
        <v>88</v>
      </c>
      <c r="U840">
        <v>1.76</v>
      </c>
      <c r="V840">
        <v>6.3</v>
      </c>
      <c r="W840">
        <v>9326</v>
      </c>
      <c r="X840">
        <v>11745</v>
      </c>
      <c r="Y840">
        <v>0.79</v>
      </c>
      <c r="Z840">
        <v>584</v>
      </c>
      <c r="AA840">
        <v>65</v>
      </c>
      <c r="AB840" t="s">
        <v>31</v>
      </c>
    </row>
    <row r="841" spans="1:28">
      <c r="A841" t="str">
        <f>"601216"</f>
        <v>601216</v>
      </c>
      <c r="B841" t="s">
        <v>1007</v>
      </c>
      <c r="C841">
        <v>-2.95</v>
      </c>
      <c r="D841">
        <v>13.49</v>
      </c>
      <c r="E841">
        <v>-0.41</v>
      </c>
      <c r="F841">
        <v>13.47</v>
      </c>
      <c r="G841">
        <v>13.48</v>
      </c>
      <c r="H841">
        <v>369753</v>
      </c>
      <c r="I841">
        <v>53</v>
      </c>
      <c r="J841">
        <v>-0.14000000000000001</v>
      </c>
      <c r="K841">
        <v>7.42</v>
      </c>
      <c r="L841">
        <v>13.84</v>
      </c>
      <c r="M841">
        <v>14.28</v>
      </c>
      <c r="N841">
        <v>13.35</v>
      </c>
      <c r="O841">
        <v>13.9</v>
      </c>
      <c r="P841">
        <v>33.99</v>
      </c>
      <c r="Q841">
        <v>509733568</v>
      </c>
      <c r="R841">
        <v>1.04</v>
      </c>
      <c r="S841" t="s">
        <v>137</v>
      </c>
      <c r="T841" t="s">
        <v>47</v>
      </c>
      <c r="U841">
        <v>6.69</v>
      </c>
      <c r="V841">
        <v>13.79</v>
      </c>
      <c r="W841">
        <v>179267</v>
      </c>
      <c r="X841">
        <v>190486</v>
      </c>
      <c r="Y841">
        <v>0.94</v>
      </c>
      <c r="Z841">
        <v>355</v>
      </c>
      <c r="AA841">
        <v>39</v>
      </c>
      <c r="AB841" t="s">
        <v>31</v>
      </c>
    </row>
    <row r="842" spans="1:28">
      <c r="A842" t="str">
        <f>"601218"</f>
        <v>601218</v>
      </c>
      <c r="B842" t="s">
        <v>1008</v>
      </c>
      <c r="C842">
        <v>1.77</v>
      </c>
      <c r="D842">
        <v>4.03</v>
      </c>
      <c r="E842">
        <v>7.0000000000000007E-2</v>
      </c>
      <c r="F842">
        <v>4.03</v>
      </c>
      <c r="G842">
        <v>4.04</v>
      </c>
      <c r="H842">
        <v>64138</v>
      </c>
      <c r="I842">
        <v>80</v>
      </c>
      <c r="J842">
        <v>0</v>
      </c>
      <c r="K842">
        <v>2.09</v>
      </c>
      <c r="L842">
        <v>3.99</v>
      </c>
      <c r="M842">
        <v>4.0599999999999996</v>
      </c>
      <c r="N842">
        <v>3.96</v>
      </c>
      <c r="O842">
        <v>3.96</v>
      </c>
      <c r="P842">
        <v>265.75</v>
      </c>
      <c r="Q842">
        <v>25711314</v>
      </c>
      <c r="R842">
        <v>0.54</v>
      </c>
      <c r="S842" t="s">
        <v>198</v>
      </c>
      <c r="T842" t="s">
        <v>120</v>
      </c>
      <c r="U842">
        <v>2.5299999999999998</v>
      </c>
      <c r="V842">
        <v>4.01</v>
      </c>
      <c r="W842">
        <v>33263</v>
      </c>
      <c r="X842">
        <v>30875</v>
      </c>
      <c r="Y842">
        <v>1.08</v>
      </c>
      <c r="Z842">
        <v>17</v>
      </c>
      <c r="AA842">
        <v>1190</v>
      </c>
      <c r="AB842" t="s">
        <v>31</v>
      </c>
    </row>
    <row r="843" spans="1:28">
      <c r="A843" t="str">
        <f>"601222"</f>
        <v>601222</v>
      </c>
      <c r="B843" t="s">
        <v>1009</v>
      </c>
      <c r="C843">
        <v>1.29</v>
      </c>
      <c r="D843">
        <v>26.78</v>
      </c>
      <c r="E843">
        <v>0.34</v>
      </c>
      <c r="F843">
        <v>26.8</v>
      </c>
      <c r="G843">
        <v>26.82</v>
      </c>
      <c r="H843">
        <v>50141</v>
      </c>
      <c r="I843">
        <v>300</v>
      </c>
      <c r="J843">
        <v>0.9</v>
      </c>
      <c r="K843">
        <v>4.2</v>
      </c>
      <c r="L843">
        <v>26.5</v>
      </c>
      <c r="M843">
        <v>26.98</v>
      </c>
      <c r="N843">
        <v>25.73</v>
      </c>
      <c r="O843">
        <v>26.44</v>
      </c>
      <c r="P843">
        <v>34.03</v>
      </c>
      <c r="Q843">
        <v>132041616</v>
      </c>
      <c r="R843">
        <v>0.36</v>
      </c>
      <c r="S843" t="s">
        <v>458</v>
      </c>
      <c r="T843" t="s">
        <v>120</v>
      </c>
      <c r="U843">
        <v>4.7300000000000004</v>
      </c>
      <c r="V843">
        <v>26.33</v>
      </c>
      <c r="W843">
        <v>27524</v>
      </c>
      <c r="X843">
        <v>22617</v>
      </c>
      <c r="Y843">
        <v>1.22</v>
      </c>
      <c r="Z843">
        <v>79</v>
      </c>
      <c r="AA843">
        <v>39</v>
      </c>
      <c r="AB843" t="s">
        <v>31</v>
      </c>
    </row>
    <row r="844" spans="1:28">
      <c r="A844" t="str">
        <f>"601231"</f>
        <v>601231</v>
      </c>
      <c r="B844" t="s">
        <v>1010</v>
      </c>
      <c r="C844">
        <v>3.21</v>
      </c>
      <c r="D844">
        <v>20.6</v>
      </c>
      <c r="E844">
        <v>0.64</v>
      </c>
      <c r="F844">
        <v>20.58</v>
      </c>
      <c r="G844">
        <v>20.59</v>
      </c>
      <c r="H844">
        <v>12403</v>
      </c>
      <c r="I844">
        <v>1</v>
      </c>
      <c r="J844">
        <v>0.04</v>
      </c>
      <c r="K844">
        <v>1.1599999999999999</v>
      </c>
      <c r="L844">
        <v>19.96</v>
      </c>
      <c r="M844">
        <v>20.75</v>
      </c>
      <c r="N844">
        <v>19.96</v>
      </c>
      <c r="O844">
        <v>19.96</v>
      </c>
      <c r="P844">
        <v>39.369999999999997</v>
      </c>
      <c r="Q844">
        <v>25287984</v>
      </c>
      <c r="R844">
        <v>0.42</v>
      </c>
      <c r="S844" t="s">
        <v>153</v>
      </c>
      <c r="T844" t="s">
        <v>30</v>
      </c>
      <c r="U844">
        <v>3.96</v>
      </c>
      <c r="V844">
        <v>20.39</v>
      </c>
      <c r="W844">
        <v>5443</v>
      </c>
      <c r="X844">
        <v>6960</v>
      </c>
      <c r="Y844">
        <v>0.78</v>
      </c>
      <c r="Z844">
        <v>67</v>
      </c>
      <c r="AA844">
        <v>15</v>
      </c>
      <c r="AB844" t="s">
        <v>31</v>
      </c>
    </row>
    <row r="845" spans="1:28">
      <c r="A845" t="str">
        <f>"601233"</f>
        <v>601233</v>
      </c>
      <c r="B845" t="s">
        <v>1011</v>
      </c>
      <c r="C845">
        <v>0.34</v>
      </c>
      <c r="D845">
        <v>5.86</v>
      </c>
      <c r="E845">
        <v>0.02</v>
      </c>
      <c r="F845">
        <v>5.84</v>
      </c>
      <c r="G845">
        <v>5.85</v>
      </c>
      <c r="H845">
        <v>53384</v>
      </c>
      <c r="I845">
        <v>54</v>
      </c>
      <c r="J845">
        <v>0.17</v>
      </c>
      <c r="K845">
        <v>1.02</v>
      </c>
      <c r="L845">
        <v>5.75</v>
      </c>
      <c r="M845">
        <v>5.87</v>
      </c>
      <c r="N845">
        <v>5.73</v>
      </c>
      <c r="O845">
        <v>5.84</v>
      </c>
      <c r="P845">
        <v>41.71</v>
      </c>
      <c r="Q845">
        <v>31004528</v>
      </c>
      <c r="R845">
        <v>1.03</v>
      </c>
      <c r="S845" t="s">
        <v>115</v>
      </c>
      <c r="T845" t="s">
        <v>95</v>
      </c>
      <c r="U845">
        <v>2.4</v>
      </c>
      <c r="V845">
        <v>5.81</v>
      </c>
      <c r="W845">
        <v>22037</v>
      </c>
      <c r="X845">
        <v>31347</v>
      </c>
      <c r="Y845">
        <v>0.7</v>
      </c>
      <c r="Z845">
        <v>30</v>
      </c>
      <c r="AA845">
        <v>46</v>
      </c>
      <c r="AB845" t="s">
        <v>31</v>
      </c>
    </row>
    <row r="846" spans="1:28">
      <c r="A846" t="str">
        <f>"601238"</f>
        <v>601238</v>
      </c>
      <c r="B846" t="s">
        <v>1012</v>
      </c>
      <c r="C846">
        <v>5.6</v>
      </c>
      <c r="D846">
        <v>7.92</v>
      </c>
      <c r="E846">
        <v>0.42</v>
      </c>
      <c r="F846">
        <v>7.93</v>
      </c>
      <c r="G846">
        <v>7.94</v>
      </c>
      <c r="H846">
        <v>57797</v>
      </c>
      <c r="I846">
        <v>3</v>
      </c>
      <c r="J846">
        <v>-0.37</v>
      </c>
      <c r="K846">
        <v>0.96</v>
      </c>
      <c r="L846">
        <v>7.52</v>
      </c>
      <c r="M846">
        <v>7.99</v>
      </c>
      <c r="N846">
        <v>7.4</v>
      </c>
      <c r="O846">
        <v>7.5</v>
      </c>
      <c r="P846">
        <v>20.92</v>
      </c>
      <c r="Q846">
        <v>44730736</v>
      </c>
      <c r="R846">
        <v>1.1499999999999999</v>
      </c>
      <c r="S846" t="s">
        <v>39</v>
      </c>
      <c r="T846" t="s">
        <v>34</v>
      </c>
      <c r="U846">
        <v>7.87</v>
      </c>
      <c r="V846">
        <v>7.74</v>
      </c>
      <c r="W846">
        <v>24536</v>
      </c>
      <c r="X846">
        <v>33261</v>
      </c>
      <c r="Y846">
        <v>0.74</v>
      </c>
      <c r="Z846">
        <v>11</v>
      </c>
      <c r="AA846">
        <v>238</v>
      </c>
      <c r="AB846" t="s">
        <v>31</v>
      </c>
    </row>
    <row r="847" spans="1:28">
      <c r="A847" t="str">
        <f>"601258"</f>
        <v>601258</v>
      </c>
      <c r="B847" t="s">
        <v>1013</v>
      </c>
      <c r="C847">
        <v>3.71</v>
      </c>
      <c r="D847">
        <v>5.87</v>
      </c>
      <c r="E847">
        <v>0.21</v>
      </c>
      <c r="F847">
        <v>5.87</v>
      </c>
      <c r="G847">
        <v>5.88</v>
      </c>
      <c r="H847">
        <v>144302</v>
      </c>
      <c r="I847">
        <v>12</v>
      </c>
      <c r="J847">
        <v>-0.17</v>
      </c>
      <c r="K847">
        <v>2.02</v>
      </c>
      <c r="L847">
        <v>5.66</v>
      </c>
      <c r="M847">
        <v>5.95</v>
      </c>
      <c r="N847">
        <v>5.53</v>
      </c>
      <c r="O847">
        <v>5.66</v>
      </c>
      <c r="P847">
        <v>27.42</v>
      </c>
      <c r="Q847">
        <v>82954632</v>
      </c>
      <c r="R847">
        <v>0.96</v>
      </c>
      <c r="S847" t="s">
        <v>702</v>
      </c>
      <c r="T847" t="s">
        <v>224</v>
      </c>
      <c r="U847">
        <v>7.42</v>
      </c>
      <c r="V847">
        <v>5.75</v>
      </c>
      <c r="W847">
        <v>72059</v>
      </c>
      <c r="X847">
        <v>72243</v>
      </c>
      <c r="Y847">
        <v>1</v>
      </c>
      <c r="Z847">
        <v>308</v>
      </c>
      <c r="AA847">
        <v>30</v>
      </c>
      <c r="AB847" t="s">
        <v>31</v>
      </c>
    </row>
    <row r="848" spans="1:28">
      <c r="A848" t="str">
        <f>"601268"</f>
        <v>601268</v>
      </c>
      <c r="B848" t="s">
        <v>1014</v>
      </c>
      <c r="C848">
        <v>0.26</v>
      </c>
      <c r="D848">
        <v>3.89</v>
      </c>
      <c r="E848">
        <v>0.01</v>
      </c>
      <c r="F848">
        <v>3.89</v>
      </c>
      <c r="G848">
        <v>3.9</v>
      </c>
      <c r="H848">
        <v>17833</v>
      </c>
      <c r="I848">
        <v>116</v>
      </c>
      <c r="J848">
        <v>-0.25</v>
      </c>
      <c r="K848">
        <v>0.11</v>
      </c>
      <c r="L848">
        <v>3.9</v>
      </c>
      <c r="M848">
        <v>3.93</v>
      </c>
      <c r="N848">
        <v>3.88</v>
      </c>
      <c r="O848">
        <v>3.88</v>
      </c>
      <c r="P848" t="s">
        <v>31</v>
      </c>
      <c r="Q848">
        <v>6956239</v>
      </c>
      <c r="R848">
        <v>0.59</v>
      </c>
      <c r="S848" t="s">
        <v>75</v>
      </c>
      <c r="T848" t="s">
        <v>88</v>
      </c>
      <c r="U848">
        <v>1.29</v>
      </c>
      <c r="V848">
        <v>3.9</v>
      </c>
      <c r="W848">
        <v>11014</v>
      </c>
      <c r="X848">
        <v>6819</v>
      </c>
      <c r="Y848">
        <v>1.62</v>
      </c>
      <c r="Z848">
        <v>312</v>
      </c>
      <c r="AA848">
        <v>119</v>
      </c>
      <c r="AB848" t="s">
        <v>31</v>
      </c>
    </row>
    <row r="849" spans="1:28">
      <c r="A849" t="str">
        <f>"601288"</f>
        <v>601288</v>
      </c>
      <c r="B849" t="s">
        <v>1015</v>
      </c>
      <c r="C849">
        <v>1.18</v>
      </c>
      <c r="D849">
        <v>2.57</v>
      </c>
      <c r="E849">
        <v>0.03</v>
      </c>
      <c r="F849">
        <v>2.56</v>
      </c>
      <c r="G849">
        <v>2.57</v>
      </c>
      <c r="H849">
        <v>1431116</v>
      </c>
      <c r="I849">
        <v>530</v>
      </c>
      <c r="J849">
        <v>0</v>
      </c>
      <c r="K849">
        <v>0.05</v>
      </c>
      <c r="L849">
        <v>2.5299999999999998</v>
      </c>
      <c r="M849">
        <v>2.58</v>
      </c>
      <c r="N849">
        <v>2.52</v>
      </c>
      <c r="O849">
        <v>2.54</v>
      </c>
      <c r="P849">
        <v>4.5199999999999996</v>
      </c>
      <c r="Q849">
        <v>365371328</v>
      </c>
      <c r="R849">
        <v>1.06</v>
      </c>
      <c r="S849" t="s">
        <v>29</v>
      </c>
      <c r="T849" t="s">
        <v>42</v>
      </c>
      <c r="U849">
        <v>2.36</v>
      </c>
      <c r="V849">
        <v>2.5499999999999998</v>
      </c>
      <c r="W849">
        <v>737875</v>
      </c>
      <c r="X849">
        <v>693241</v>
      </c>
      <c r="Y849">
        <v>1.06</v>
      </c>
      <c r="Z849">
        <v>9288</v>
      </c>
      <c r="AA849">
        <v>200</v>
      </c>
      <c r="AB849" t="s">
        <v>31</v>
      </c>
    </row>
    <row r="850" spans="1:28">
      <c r="A850" t="str">
        <f>"601299"</f>
        <v>601299</v>
      </c>
      <c r="B850" t="s">
        <v>1016</v>
      </c>
      <c r="C850">
        <v>8.66</v>
      </c>
      <c r="D850">
        <v>5.52</v>
      </c>
      <c r="E850">
        <v>0.44</v>
      </c>
      <c r="F850">
        <v>5.52</v>
      </c>
      <c r="G850">
        <v>5.53</v>
      </c>
      <c r="H850">
        <v>1895311</v>
      </c>
      <c r="I850">
        <v>102</v>
      </c>
      <c r="J850">
        <v>0.36</v>
      </c>
      <c r="K850">
        <v>1.84</v>
      </c>
      <c r="L850">
        <v>5.09</v>
      </c>
      <c r="M850">
        <v>5.59</v>
      </c>
      <c r="N850">
        <v>5.0199999999999996</v>
      </c>
      <c r="O850">
        <v>5.08</v>
      </c>
      <c r="P850">
        <v>18.170000000000002</v>
      </c>
      <c r="Q850">
        <v>1019004160</v>
      </c>
      <c r="R850">
        <v>1.58</v>
      </c>
      <c r="S850" t="s">
        <v>556</v>
      </c>
      <c r="T850" t="s">
        <v>42</v>
      </c>
      <c r="U850">
        <v>11.22</v>
      </c>
      <c r="V850">
        <v>5.38</v>
      </c>
      <c r="W850">
        <v>814632</v>
      </c>
      <c r="X850">
        <v>1080679</v>
      </c>
      <c r="Y850">
        <v>0.75</v>
      </c>
      <c r="Z850">
        <v>3569</v>
      </c>
      <c r="AA850">
        <v>4072</v>
      </c>
      <c r="AB850" t="s">
        <v>31</v>
      </c>
    </row>
    <row r="851" spans="1:28">
      <c r="A851" t="str">
        <f>"601311"</f>
        <v>601311</v>
      </c>
      <c r="B851" t="s">
        <v>1017</v>
      </c>
      <c r="C851">
        <v>2.1800000000000002</v>
      </c>
      <c r="D851">
        <v>10.78</v>
      </c>
      <c r="E851">
        <v>0.23</v>
      </c>
      <c r="F851">
        <v>10.77</v>
      </c>
      <c r="G851">
        <v>10.78</v>
      </c>
      <c r="H851">
        <v>58495</v>
      </c>
      <c r="I851">
        <v>75</v>
      </c>
      <c r="J851">
        <v>0.09</v>
      </c>
      <c r="K851">
        <v>1.94</v>
      </c>
      <c r="L851">
        <v>10.56</v>
      </c>
      <c r="M851">
        <v>10.88</v>
      </c>
      <c r="N851">
        <v>10.48</v>
      </c>
      <c r="O851">
        <v>10.55</v>
      </c>
      <c r="P851">
        <v>20.86</v>
      </c>
      <c r="Q851">
        <v>62701080</v>
      </c>
      <c r="R851">
        <v>0.39</v>
      </c>
      <c r="S851" t="s">
        <v>161</v>
      </c>
      <c r="T851" t="s">
        <v>37</v>
      </c>
      <c r="U851">
        <v>3.79</v>
      </c>
      <c r="V851">
        <v>10.72</v>
      </c>
      <c r="W851">
        <v>28684</v>
      </c>
      <c r="X851">
        <v>29811</v>
      </c>
      <c r="Y851">
        <v>0.96</v>
      </c>
      <c r="Z851">
        <v>130</v>
      </c>
      <c r="AA851">
        <v>206</v>
      </c>
      <c r="AB851" t="s">
        <v>31</v>
      </c>
    </row>
    <row r="852" spans="1:28">
      <c r="A852" t="str">
        <f>"601313"</f>
        <v>601313</v>
      </c>
      <c r="B852" t="s">
        <v>1018</v>
      </c>
      <c r="C852">
        <v>3.85</v>
      </c>
      <c r="D852">
        <v>9.17</v>
      </c>
      <c r="E852">
        <v>0.34</v>
      </c>
      <c r="F852">
        <v>9.16</v>
      </c>
      <c r="G852">
        <v>9.17</v>
      </c>
      <c r="H852">
        <v>77783</v>
      </c>
      <c r="I852">
        <v>26</v>
      </c>
      <c r="J852">
        <v>-0.1</v>
      </c>
      <c r="K852">
        <v>2.76</v>
      </c>
      <c r="L852">
        <v>8.91</v>
      </c>
      <c r="M852">
        <v>9.35</v>
      </c>
      <c r="N852">
        <v>8.91</v>
      </c>
      <c r="O852">
        <v>8.83</v>
      </c>
      <c r="P852">
        <v>26.63</v>
      </c>
      <c r="Q852">
        <v>70995072</v>
      </c>
      <c r="R852">
        <v>1.65</v>
      </c>
      <c r="S852" t="s">
        <v>556</v>
      </c>
      <c r="T852" t="s">
        <v>120</v>
      </c>
      <c r="U852">
        <v>4.9800000000000004</v>
      </c>
      <c r="V852">
        <v>9.1300000000000008</v>
      </c>
      <c r="W852">
        <v>35067</v>
      </c>
      <c r="X852">
        <v>42716</v>
      </c>
      <c r="Y852">
        <v>0.82</v>
      </c>
      <c r="Z852">
        <v>236</v>
      </c>
      <c r="AA852">
        <v>146</v>
      </c>
      <c r="AB852" t="s">
        <v>31</v>
      </c>
    </row>
    <row r="853" spans="1:28">
      <c r="A853" t="str">
        <f>"601318"</f>
        <v>601318</v>
      </c>
      <c r="B853" t="s">
        <v>1019</v>
      </c>
      <c r="C853">
        <v>1.71</v>
      </c>
      <c r="D853">
        <v>37.39</v>
      </c>
      <c r="E853">
        <v>0.63</v>
      </c>
      <c r="F853">
        <v>37.380000000000003</v>
      </c>
      <c r="G853">
        <v>37.39</v>
      </c>
      <c r="H853">
        <v>420790</v>
      </c>
      <c r="I853">
        <v>279</v>
      </c>
      <c r="J853">
        <v>0</v>
      </c>
      <c r="K853">
        <v>0.88</v>
      </c>
      <c r="L853">
        <v>36.79</v>
      </c>
      <c r="M853">
        <v>37.47</v>
      </c>
      <c r="N853">
        <v>36.6</v>
      </c>
      <c r="O853">
        <v>36.76</v>
      </c>
      <c r="P853">
        <v>9.51</v>
      </c>
      <c r="Q853">
        <v>1563245056</v>
      </c>
      <c r="R853">
        <v>1.22</v>
      </c>
      <c r="S853" t="s">
        <v>1020</v>
      </c>
      <c r="T853" t="s">
        <v>73</v>
      </c>
      <c r="U853">
        <v>2.37</v>
      </c>
      <c r="V853">
        <v>37.15</v>
      </c>
      <c r="W853">
        <v>205874</v>
      </c>
      <c r="X853">
        <v>214916</v>
      </c>
      <c r="Y853">
        <v>0.96</v>
      </c>
      <c r="Z853">
        <v>450</v>
      </c>
      <c r="AA853">
        <v>17</v>
      </c>
      <c r="AB853" t="s">
        <v>31</v>
      </c>
    </row>
    <row r="854" spans="1:28">
      <c r="A854" t="str">
        <f>"601328"</f>
        <v>601328</v>
      </c>
      <c r="B854" t="s">
        <v>1021</v>
      </c>
      <c r="C854">
        <v>0.71</v>
      </c>
      <c r="D854">
        <v>4.26</v>
      </c>
      <c r="E854">
        <v>0.03</v>
      </c>
      <c r="F854">
        <v>4.26</v>
      </c>
      <c r="G854">
        <v>4.2699999999999996</v>
      </c>
      <c r="H854">
        <v>713946</v>
      </c>
      <c r="I854">
        <v>181</v>
      </c>
      <c r="J854">
        <v>0</v>
      </c>
      <c r="K854">
        <v>0.22</v>
      </c>
      <c r="L854">
        <v>4.2300000000000004</v>
      </c>
      <c r="M854">
        <v>4.2699999999999996</v>
      </c>
      <c r="N854">
        <v>4.18</v>
      </c>
      <c r="O854">
        <v>4.2300000000000004</v>
      </c>
      <c r="P854">
        <v>4.54</v>
      </c>
      <c r="Q854">
        <v>302332544</v>
      </c>
      <c r="R854">
        <v>0.99</v>
      </c>
      <c r="S854" t="s">
        <v>29</v>
      </c>
      <c r="T854" t="s">
        <v>30</v>
      </c>
      <c r="U854">
        <v>2.13</v>
      </c>
      <c r="V854">
        <v>4.2300000000000004</v>
      </c>
      <c r="W854">
        <v>382372</v>
      </c>
      <c r="X854">
        <v>331574</v>
      </c>
      <c r="Y854">
        <v>1.1499999999999999</v>
      </c>
      <c r="Z854">
        <v>2609</v>
      </c>
      <c r="AA854">
        <v>25775</v>
      </c>
      <c r="AB854" t="s">
        <v>31</v>
      </c>
    </row>
    <row r="855" spans="1:28">
      <c r="A855" t="str">
        <f>"601333"</f>
        <v>601333</v>
      </c>
      <c r="B855" t="s">
        <v>1022</v>
      </c>
      <c r="C855">
        <v>1.72</v>
      </c>
      <c r="D855">
        <v>2.96</v>
      </c>
      <c r="E855">
        <v>0.05</v>
      </c>
      <c r="F855">
        <v>2.96</v>
      </c>
      <c r="G855">
        <v>2.97</v>
      </c>
      <c r="H855">
        <v>292019</v>
      </c>
      <c r="I855">
        <v>126</v>
      </c>
      <c r="J855">
        <v>-0.33</v>
      </c>
      <c r="K855">
        <v>0.52</v>
      </c>
      <c r="L855">
        <v>2.89</v>
      </c>
      <c r="M855">
        <v>3</v>
      </c>
      <c r="N855">
        <v>2.88</v>
      </c>
      <c r="O855">
        <v>2.91</v>
      </c>
      <c r="P855">
        <v>16.149999999999999</v>
      </c>
      <c r="Q855">
        <v>85936520</v>
      </c>
      <c r="R855">
        <v>1.27</v>
      </c>
      <c r="S855" t="s">
        <v>214</v>
      </c>
      <c r="T855" t="s">
        <v>73</v>
      </c>
      <c r="U855">
        <v>4.12</v>
      </c>
      <c r="V855">
        <v>2.94</v>
      </c>
      <c r="W855">
        <v>167275</v>
      </c>
      <c r="X855">
        <v>124744</v>
      </c>
      <c r="Y855">
        <v>1.34</v>
      </c>
      <c r="Z855">
        <v>623</v>
      </c>
      <c r="AA855">
        <v>2225</v>
      </c>
      <c r="AB855" t="s">
        <v>31</v>
      </c>
    </row>
    <row r="856" spans="1:28">
      <c r="A856" t="str">
        <f>"601336"</f>
        <v>601336</v>
      </c>
      <c r="B856" t="s">
        <v>1023</v>
      </c>
      <c r="C856">
        <v>1.08</v>
      </c>
      <c r="D856">
        <v>22.54</v>
      </c>
      <c r="E856">
        <v>0.24</v>
      </c>
      <c r="F856">
        <v>22.53</v>
      </c>
      <c r="G856">
        <v>22.55</v>
      </c>
      <c r="H856">
        <v>53393</v>
      </c>
      <c r="I856">
        <v>10</v>
      </c>
      <c r="J856">
        <v>0.08</v>
      </c>
      <c r="K856">
        <v>0.49</v>
      </c>
      <c r="L856">
        <v>22.28</v>
      </c>
      <c r="M856">
        <v>22.55</v>
      </c>
      <c r="N856">
        <v>22.13</v>
      </c>
      <c r="O856">
        <v>22.3</v>
      </c>
      <c r="P856">
        <v>16.079999999999998</v>
      </c>
      <c r="Q856">
        <v>119354440</v>
      </c>
      <c r="R856">
        <v>0.98</v>
      </c>
      <c r="S856" t="s">
        <v>1020</v>
      </c>
      <c r="T856" t="s">
        <v>42</v>
      </c>
      <c r="U856">
        <v>1.88</v>
      </c>
      <c r="V856">
        <v>22.35</v>
      </c>
      <c r="W856">
        <v>27346</v>
      </c>
      <c r="X856">
        <v>26047</v>
      </c>
      <c r="Y856">
        <v>1.05</v>
      </c>
      <c r="Z856">
        <v>28</v>
      </c>
      <c r="AA856">
        <v>181</v>
      </c>
      <c r="AB856" t="s">
        <v>31</v>
      </c>
    </row>
    <row r="857" spans="1:28">
      <c r="A857" t="str">
        <f>"601339"</f>
        <v>601339</v>
      </c>
      <c r="B857" t="s">
        <v>1024</v>
      </c>
      <c r="C857">
        <v>1.61</v>
      </c>
      <c r="D857">
        <v>8.82</v>
      </c>
      <c r="E857">
        <v>0.14000000000000001</v>
      </c>
      <c r="F857">
        <v>8.8000000000000007</v>
      </c>
      <c r="G857">
        <v>8.82</v>
      </c>
      <c r="H857">
        <v>42259</v>
      </c>
      <c r="I857">
        <v>42</v>
      </c>
      <c r="J857">
        <v>0.22</v>
      </c>
      <c r="K857">
        <v>2.2599999999999998</v>
      </c>
      <c r="L857">
        <v>8.6999999999999993</v>
      </c>
      <c r="M857">
        <v>8.83</v>
      </c>
      <c r="N857">
        <v>8.6300000000000008</v>
      </c>
      <c r="O857">
        <v>8.68</v>
      </c>
      <c r="P857">
        <v>11.18</v>
      </c>
      <c r="Q857">
        <v>36921160</v>
      </c>
      <c r="R857">
        <v>0.82</v>
      </c>
      <c r="S857" t="s">
        <v>127</v>
      </c>
      <c r="T857" t="s">
        <v>95</v>
      </c>
      <c r="U857">
        <v>2.2999999999999998</v>
      </c>
      <c r="V857">
        <v>8.74</v>
      </c>
      <c r="W857">
        <v>22602</v>
      </c>
      <c r="X857">
        <v>19657</v>
      </c>
      <c r="Y857">
        <v>1.1499999999999999</v>
      </c>
      <c r="Z857">
        <v>545</v>
      </c>
      <c r="AA857">
        <v>32</v>
      </c>
      <c r="AB857" t="s">
        <v>31</v>
      </c>
    </row>
    <row r="858" spans="1:28">
      <c r="A858" t="str">
        <f>"601369"</f>
        <v>601369</v>
      </c>
      <c r="B858" t="s">
        <v>1025</v>
      </c>
      <c r="C858">
        <v>1.2</v>
      </c>
      <c r="D858">
        <v>6.77</v>
      </c>
      <c r="E858">
        <v>0.08</v>
      </c>
      <c r="F858">
        <v>6.77</v>
      </c>
      <c r="G858">
        <v>6.78</v>
      </c>
      <c r="H858">
        <v>40789</v>
      </c>
      <c r="I858">
        <v>2</v>
      </c>
      <c r="J858">
        <v>0.14000000000000001</v>
      </c>
      <c r="K858">
        <v>0.25</v>
      </c>
      <c r="L858">
        <v>6.68</v>
      </c>
      <c r="M858">
        <v>6.78</v>
      </c>
      <c r="N858">
        <v>6.62</v>
      </c>
      <c r="O858">
        <v>6.69</v>
      </c>
      <c r="P858">
        <v>11.05</v>
      </c>
      <c r="Q858">
        <v>27416396</v>
      </c>
      <c r="R858">
        <v>0.65</v>
      </c>
      <c r="S858" t="s">
        <v>198</v>
      </c>
      <c r="T858" t="s">
        <v>147</v>
      </c>
      <c r="U858">
        <v>2.39</v>
      </c>
      <c r="V858">
        <v>6.72</v>
      </c>
      <c r="W858">
        <v>23983</v>
      </c>
      <c r="X858">
        <v>16806</v>
      </c>
      <c r="Y858">
        <v>1.43</v>
      </c>
      <c r="Z858">
        <v>33</v>
      </c>
      <c r="AA858">
        <v>390</v>
      </c>
      <c r="AB858" t="s">
        <v>31</v>
      </c>
    </row>
    <row r="859" spans="1:28">
      <c r="A859" t="str">
        <f>"601377"</f>
        <v>601377</v>
      </c>
      <c r="B859" t="s">
        <v>1026</v>
      </c>
      <c r="C859">
        <v>0.85</v>
      </c>
      <c r="D859">
        <v>9.4700000000000006</v>
      </c>
      <c r="E859">
        <v>0.08</v>
      </c>
      <c r="F859">
        <v>9.4700000000000006</v>
      </c>
      <c r="G859">
        <v>9.48</v>
      </c>
      <c r="H859">
        <v>115695</v>
      </c>
      <c r="I859">
        <v>47</v>
      </c>
      <c r="J859">
        <v>0.31</v>
      </c>
      <c r="K859">
        <v>0.57999999999999996</v>
      </c>
      <c r="L859">
        <v>9.44</v>
      </c>
      <c r="M859">
        <v>9.48</v>
      </c>
      <c r="N859">
        <v>9.34</v>
      </c>
      <c r="O859">
        <v>9.39</v>
      </c>
      <c r="P859">
        <v>31.54</v>
      </c>
      <c r="Q859">
        <v>108742416</v>
      </c>
      <c r="R859">
        <v>1.1000000000000001</v>
      </c>
      <c r="S859" t="s">
        <v>72</v>
      </c>
      <c r="T859" t="s">
        <v>78</v>
      </c>
      <c r="U859">
        <v>1.49</v>
      </c>
      <c r="V859">
        <v>9.4</v>
      </c>
      <c r="W859">
        <v>60878</v>
      </c>
      <c r="X859">
        <v>54817</v>
      </c>
      <c r="Y859">
        <v>1.1100000000000001</v>
      </c>
      <c r="Z859">
        <v>528</v>
      </c>
      <c r="AA859">
        <v>1524</v>
      </c>
      <c r="AB859" t="s">
        <v>31</v>
      </c>
    </row>
    <row r="860" spans="1:28">
      <c r="A860" t="str">
        <f>"601388"</f>
        <v>601388</v>
      </c>
      <c r="B860" t="s">
        <v>1027</v>
      </c>
      <c r="C860">
        <v>0.51</v>
      </c>
      <c r="D860">
        <v>9.91</v>
      </c>
      <c r="E860">
        <v>0.05</v>
      </c>
      <c r="F860">
        <v>9.9</v>
      </c>
      <c r="G860">
        <v>9.91</v>
      </c>
      <c r="H860">
        <v>42099</v>
      </c>
      <c r="I860">
        <v>69</v>
      </c>
      <c r="J860">
        <v>0.1</v>
      </c>
      <c r="K860">
        <v>2.46</v>
      </c>
      <c r="L860">
        <v>9.7799999999999994</v>
      </c>
      <c r="M860">
        <v>9.94</v>
      </c>
      <c r="N860">
        <v>9.6999999999999993</v>
      </c>
      <c r="O860">
        <v>9.86</v>
      </c>
      <c r="P860">
        <v>35.51</v>
      </c>
      <c r="Q860">
        <v>41425208</v>
      </c>
      <c r="R860">
        <v>0.62</v>
      </c>
      <c r="S860" t="s">
        <v>316</v>
      </c>
      <c r="T860" t="s">
        <v>120</v>
      </c>
      <c r="U860">
        <v>2.4300000000000002</v>
      </c>
      <c r="V860">
        <v>9.84</v>
      </c>
      <c r="W860">
        <v>24288</v>
      </c>
      <c r="X860">
        <v>17811</v>
      </c>
      <c r="Y860">
        <v>1.36</v>
      </c>
      <c r="Z860">
        <v>48</v>
      </c>
      <c r="AA860">
        <v>47</v>
      </c>
      <c r="AB860" t="s">
        <v>31</v>
      </c>
    </row>
    <row r="861" spans="1:28">
      <c r="A861" t="str">
        <f>"601390"</f>
        <v>601390</v>
      </c>
      <c r="B861" t="s">
        <v>1028</v>
      </c>
      <c r="C861">
        <v>2.87</v>
      </c>
      <c r="D861">
        <v>2.87</v>
      </c>
      <c r="E861">
        <v>0.08</v>
      </c>
      <c r="F861">
        <v>2.87</v>
      </c>
      <c r="G861">
        <v>2.88</v>
      </c>
      <c r="H861">
        <v>680100</v>
      </c>
      <c r="I861">
        <v>524</v>
      </c>
      <c r="J861">
        <v>0.34</v>
      </c>
      <c r="K861">
        <v>0.41</v>
      </c>
      <c r="L861">
        <v>2.78</v>
      </c>
      <c r="M861">
        <v>2.88</v>
      </c>
      <c r="N861">
        <v>2.76</v>
      </c>
      <c r="O861">
        <v>2.79</v>
      </c>
      <c r="P861">
        <v>8.76</v>
      </c>
      <c r="Q861">
        <v>192874032</v>
      </c>
      <c r="R861">
        <v>1.51</v>
      </c>
      <c r="S861" t="s">
        <v>87</v>
      </c>
      <c r="T861" t="s">
        <v>42</v>
      </c>
      <c r="U861">
        <v>4.3</v>
      </c>
      <c r="V861">
        <v>2.84</v>
      </c>
      <c r="W861">
        <v>319679</v>
      </c>
      <c r="X861">
        <v>360421</v>
      </c>
      <c r="Y861">
        <v>0.89</v>
      </c>
      <c r="Z861">
        <v>4353</v>
      </c>
      <c r="AA861">
        <v>23663</v>
      </c>
      <c r="AB861" t="s">
        <v>31</v>
      </c>
    </row>
    <row r="862" spans="1:28">
      <c r="A862" t="str">
        <f>"601398"</f>
        <v>601398</v>
      </c>
      <c r="B862" t="s">
        <v>1029</v>
      </c>
      <c r="C862">
        <v>0.26</v>
      </c>
      <c r="D862">
        <v>3.81</v>
      </c>
      <c r="E862">
        <v>0.01</v>
      </c>
      <c r="F862">
        <v>3.81</v>
      </c>
      <c r="G862">
        <v>3.82</v>
      </c>
      <c r="H862">
        <v>474518</v>
      </c>
      <c r="I862">
        <v>205</v>
      </c>
      <c r="J862">
        <v>-0.26</v>
      </c>
      <c r="K862">
        <v>0.02</v>
      </c>
      <c r="L862">
        <v>3.8</v>
      </c>
      <c r="M862">
        <v>3.82</v>
      </c>
      <c r="N862">
        <v>3.77</v>
      </c>
      <c r="O862">
        <v>3.8</v>
      </c>
      <c r="P862">
        <v>4.83</v>
      </c>
      <c r="Q862">
        <v>180177568</v>
      </c>
      <c r="R862">
        <v>1.08</v>
      </c>
      <c r="S862" t="s">
        <v>29</v>
      </c>
      <c r="T862" t="s">
        <v>42</v>
      </c>
      <c r="U862">
        <v>1.32</v>
      </c>
      <c r="V862">
        <v>3.8</v>
      </c>
      <c r="W862">
        <v>243709</v>
      </c>
      <c r="X862">
        <v>230809</v>
      </c>
      <c r="Y862">
        <v>1.06</v>
      </c>
      <c r="Z862">
        <v>459</v>
      </c>
      <c r="AA862">
        <v>16150</v>
      </c>
      <c r="AB862" t="s">
        <v>31</v>
      </c>
    </row>
    <row r="863" spans="1:28">
      <c r="A863" t="str">
        <f>"601515"</f>
        <v>601515</v>
      </c>
      <c r="B863" t="s">
        <v>1030</v>
      </c>
      <c r="C863">
        <v>0.47</v>
      </c>
      <c r="D863">
        <v>23.4</v>
      </c>
      <c r="E863">
        <v>0.11</v>
      </c>
      <c r="F863">
        <v>23.41</v>
      </c>
      <c r="G863">
        <v>23.43</v>
      </c>
      <c r="H863">
        <v>30977</v>
      </c>
      <c r="I863">
        <v>81</v>
      </c>
      <c r="J863">
        <v>-0.25</v>
      </c>
      <c r="K863">
        <v>3.66</v>
      </c>
      <c r="L863">
        <v>22.5</v>
      </c>
      <c r="M863">
        <v>23.95</v>
      </c>
      <c r="N863">
        <v>22.5</v>
      </c>
      <c r="O863">
        <v>23.29</v>
      </c>
      <c r="P863">
        <v>18.75</v>
      </c>
      <c r="Q863">
        <v>71979200</v>
      </c>
      <c r="R863">
        <v>0.88</v>
      </c>
      <c r="S863" t="s">
        <v>304</v>
      </c>
      <c r="T863" t="s">
        <v>34</v>
      </c>
      <c r="U863">
        <v>6.23</v>
      </c>
      <c r="V863">
        <v>23.24</v>
      </c>
      <c r="W863">
        <v>18584</v>
      </c>
      <c r="X863">
        <v>12393</v>
      </c>
      <c r="Y863">
        <v>1.5</v>
      </c>
      <c r="Z863">
        <v>5</v>
      </c>
      <c r="AA863">
        <v>15</v>
      </c>
      <c r="AB863" t="s">
        <v>31</v>
      </c>
    </row>
    <row r="864" spans="1:28">
      <c r="A864" t="str">
        <f>"601518"</f>
        <v>601518</v>
      </c>
      <c r="B864" t="s">
        <v>1031</v>
      </c>
      <c r="C864">
        <v>1.36</v>
      </c>
      <c r="D864">
        <v>2.2400000000000002</v>
      </c>
      <c r="E864">
        <v>0.03</v>
      </c>
      <c r="F864">
        <v>2.2400000000000002</v>
      </c>
      <c r="G864">
        <v>2.25</v>
      </c>
      <c r="H864">
        <v>25824</v>
      </c>
      <c r="I864">
        <v>26</v>
      </c>
      <c r="J864">
        <v>0</v>
      </c>
      <c r="K864">
        <v>0.21</v>
      </c>
      <c r="L864">
        <v>2.21</v>
      </c>
      <c r="M864">
        <v>2.25</v>
      </c>
      <c r="N864">
        <v>2.2000000000000002</v>
      </c>
      <c r="O864">
        <v>2.21</v>
      </c>
      <c r="P864">
        <v>10.3</v>
      </c>
      <c r="Q864">
        <v>5734506</v>
      </c>
      <c r="R864">
        <v>0.77</v>
      </c>
      <c r="S864" t="s">
        <v>51</v>
      </c>
      <c r="T864" t="s">
        <v>191</v>
      </c>
      <c r="U864">
        <v>2.2599999999999998</v>
      </c>
      <c r="V864">
        <v>2.2200000000000002</v>
      </c>
      <c r="W864">
        <v>11395</v>
      </c>
      <c r="X864">
        <v>14429</v>
      </c>
      <c r="Y864">
        <v>0.79</v>
      </c>
      <c r="Z864">
        <v>231</v>
      </c>
      <c r="AA864">
        <v>1393</v>
      </c>
      <c r="AB864" t="s">
        <v>31</v>
      </c>
    </row>
    <row r="865" spans="1:28">
      <c r="A865" t="str">
        <f>"601519"</f>
        <v>601519</v>
      </c>
      <c r="B865" t="s">
        <v>1032</v>
      </c>
      <c r="C865">
        <v>-0.14000000000000001</v>
      </c>
      <c r="D865">
        <v>7.14</v>
      </c>
      <c r="E865">
        <v>-0.01</v>
      </c>
      <c r="F865">
        <v>7.13</v>
      </c>
      <c r="G865">
        <v>7.14</v>
      </c>
      <c r="H865">
        <v>175268</v>
      </c>
      <c r="I865">
        <v>5</v>
      </c>
      <c r="J865">
        <v>0.14000000000000001</v>
      </c>
      <c r="K865">
        <v>2.69</v>
      </c>
      <c r="L865">
        <v>7.18</v>
      </c>
      <c r="M865">
        <v>7.25</v>
      </c>
      <c r="N865">
        <v>6.8</v>
      </c>
      <c r="O865">
        <v>7.15</v>
      </c>
      <c r="P865" t="s">
        <v>31</v>
      </c>
      <c r="Q865">
        <v>123119384</v>
      </c>
      <c r="R865">
        <v>0.75</v>
      </c>
      <c r="S865" t="s">
        <v>383</v>
      </c>
      <c r="T865" t="s">
        <v>30</v>
      </c>
      <c r="U865">
        <v>6.29</v>
      </c>
      <c r="V865">
        <v>7.02</v>
      </c>
      <c r="W865">
        <v>87242</v>
      </c>
      <c r="X865">
        <v>88026</v>
      </c>
      <c r="Y865">
        <v>0.99</v>
      </c>
      <c r="Z865">
        <v>320</v>
      </c>
      <c r="AA865">
        <v>946</v>
      </c>
      <c r="AB865" t="s">
        <v>31</v>
      </c>
    </row>
    <row r="866" spans="1:28">
      <c r="A866" t="str">
        <f>"601555"</f>
        <v>601555</v>
      </c>
      <c r="B866" t="s">
        <v>1033</v>
      </c>
      <c r="C866">
        <v>0.94</v>
      </c>
      <c r="D866">
        <v>7.51</v>
      </c>
      <c r="E866">
        <v>7.0000000000000007E-2</v>
      </c>
      <c r="F866">
        <v>7.5</v>
      </c>
      <c r="G866">
        <v>7.51</v>
      </c>
      <c r="H866">
        <v>150530</v>
      </c>
      <c r="I866">
        <v>60</v>
      </c>
      <c r="J866">
        <v>0</v>
      </c>
      <c r="K866">
        <v>1.23</v>
      </c>
      <c r="L866">
        <v>7.49</v>
      </c>
      <c r="M866">
        <v>7.53</v>
      </c>
      <c r="N866">
        <v>7.41</v>
      </c>
      <c r="O866">
        <v>7.44</v>
      </c>
      <c r="P866">
        <v>39.29</v>
      </c>
      <c r="Q866">
        <v>112492104</v>
      </c>
      <c r="R866">
        <v>1.06</v>
      </c>
      <c r="S866" t="s">
        <v>72</v>
      </c>
      <c r="T866" t="s">
        <v>120</v>
      </c>
      <c r="U866">
        <v>1.61</v>
      </c>
      <c r="V866">
        <v>7.47</v>
      </c>
      <c r="W866">
        <v>85598</v>
      </c>
      <c r="X866">
        <v>64932</v>
      </c>
      <c r="Y866">
        <v>1.32</v>
      </c>
      <c r="Z866">
        <v>2069</v>
      </c>
      <c r="AA866">
        <v>413</v>
      </c>
      <c r="AB866" t="s">
        <v>31</v>
      </c>
    </row>
    <row r="867" spans="1:28">
      <c r="A867" t="str">
        <f>"601558"</f>
        <v>601558</v>
      </c>
      <c r="B867" t="s">
        <v>1034</v>
      </c>
      <c r="C867">
        <v>1.57</v>
      </c>
      <c r="D867">
        <v>4.5199999999999996</v>
      </c>
      <c r="E867">
        <v>7.0000000000000007E-2</v>
      </c>
      <c r="F867">
        <v>4.51</v>
      </c>
      <c r="G867">
        <v>4.5199999999999996</v>
      </c>
      <c r="H867">
        <v>46630</v>
      </c>
      <c r="I867">
        <v>96</v>
      </c>
      <c r="J867">
        <v>0.22</v>
      </c>
      <c r="K867">
        <v>1.1100000000000001</v>
      </c>
      <c r="L867">
        <v>4.4400000000000004</v>
      </c>
      <c r="M867">
        <v>4.53</v>
      </c>
      <c r="N867">
        <v>4.4000000000000004</v>
      </c>
      <c r="O867">
        <v>4.45</v>
      </c>
      <c r="P867" t="s">
        <v>31</v>
      </c>
      <c r="Q867">
        <v>20843404</v>
      </c>
      <c r="R867">
        <v>0.59</v>
      </c>
      <c r="S867" t="s">
        <v>161</v>
      </c>
      <c r="T867" t="s">
        <v>42</v>
      </c>
      <c r="U867">
        <v>2.92</v>
      </c>
      <c r="V867">
        <v>4.47</v>
      </c>
      <c r="W867">
        <v>22208</v>
      </c>
      <c r="X867">
        <v>24422</v>
      </c>
      <c r="Y867">
        <v>0.91</v>
      </c>
      <c r="Z867">
        <v>102</v>
      </c>
      <c r="AA867">
        <v>90</v>
      </c>
      <c r="AB867" t="s">
        <v>31</v>
      </c>
    </row>
    <row r="868" spans="1:28">
      <c r="A868" t="str">
        <f>"601566"</f>
        <v>601566</v>
      </c>
      <c r="B868" t="s">
        <v>1035</v>
      </c>
      <c r="C868">
        <v>1.92</v>
      </c>
      <c r="D868">
        <v>13.24</v>
      </c>
      <c r="E868">
        <v>0.25</v>
      </c>
      <c r="F868">
        <v>13.23</v>
      </c>
      <c r="G868">
        <v>13.24</v>
      </c>
      <c r="H868">
        <v>40044</v>
      </c>
      <c r="I868">
        <v>31</v>
      </c>
      <c r="J868">
        <v>0</v>
      </c>
      <c r="K868">
        <v>3.22</v>
      </c>
      <c r="L868">
        <v>12.86</v>
      </c>
      <c r="M868">
        <v>13.25</v>
      </c>
      <c r="N868">
        <v>12.86</v>
      </c>
      <c r="O868">
        <v>12.99</v>
      </c>
      <c r="P868">
        <v>13.5</v>
      </c>
      <c r="Q868">
        <v>52247452</v>
      </c>
      <c r="R868">
        <v>0.74</v>
      </c>
      <c r="S868" t="s">
        <v>158</v>
      </c>
      <c r="T868" t="s">
        <v>78</v>
      </c>
      <c r="U868">
        <v>3</v>
      </c>
      <c r="V868">
        <v>13.05</v>
      </c>
      <c r="W868">
        <v>19771</v>
      </c>
      <c r="X868">
        <v>20273</v>
      </c>
      <c r="Y868">
        <v>0.98</v>
      </c>
      <c r="Z868">
        <v>44</v>
      </c>
      <c r="AA868">
        <v>10</v>
      </c>
      <c r="AB868" t="s">
        <v>31</v>
      </c>
    </row>
    <row r="869" spans="1:28">
      <c r="A869" t="str">
        <f>"601567"</f>
        <v>601567</v>
      </c>
      <c r="B869" t="s">
        <v>1036</v>
      </c>
      <c r="C869">
        <v>0.97</v>
      </c>
      <c r="D869">
        <v>9.35</v>
      </c>
      <c r="E869">
        <v>0.09</v>
      </c>
      <c r="F869">
        <v>9.35</v>
      </c>
      <c r="G869">
        <v>9.36</v>
      </c>
      <c r="H869">
        <v>9936</v>
      </c>
      <c r="I869">
        <v>56</v>
      </c>
      <c r="J869">
        <v>0.1</v>
      </c>
      <c r="K869">
        <v>0.74</v>
      </c>
      <c r="L869">
        <v>9.1999999999999993</v>
      </c>
      <c r="M869">
        <v>9.35</v>
      </c>
      <c r="N869">
        <v>9.15</v>
      </c>
      <c r="O869">
        <v>9.26</v>
      </c>
      <c r="P869">
        <v>17.309999999999999</v>
      </c>
      <c r="Q869">
        <v>9199965</v>
      </c>
      <c r="R869">
        <v>0.52</v>
      </c>
      <c r="S869" t="s">
        <v>458</v>
      </c>
      <c r="T869" t="s">
        <v>95</v>
      </c>
      <c r="U869">
        <v>2.16</v>
      </c>
      <c r="V869">
        <v>9.26</v>
      </c>
      <c r="W869">
        <v>4522</v>
      </c>
      <c r="X869">
        <v>5414</v>
      </c>
      <c r="Y869">
        <v>0.84</v>
      </c>
      <c r="Z869">
        <v>36</v>
      </c>
      <c r="AA869">
        <v>68</v>
      </c>
      <c r="AB869" t="s">
        <v>31</v>
      </c>
    </row>
    <row r="870" spans="1:28">
      <c r="A870" t="str">
        <f>"601588"</f>
        <v>601588</v>
      </c>
      <c r="B870" t="s">
        <v>1037</v>
      </c>
      <c r="C870">
        <v>1.4</v>
      </c>
      <c r="D870">
        <v>2.89</v>
      </c>
      <c r="E870">
        <v>0.04</v>
      </c>
      <c r="F870">
        <v>2.88</v>
      </c>
      <c r="G870">
        <v>2.89</v>
      </c>
      <c r="H870">
        <v>30946</v>
      </c>
      <c r="I870">
        <v>4</v>
      </c>
      <c r="J870">
        <v>0</v>
      </c>
      <c r="K870">
        <v>0.12</v>
      </c>
      <c r="L870">
        <v>2.85</v>
      </c>
      <c r="M870">
        <v>2.89</v>
      </c>
      <c r="N870">
        <v>2.84</v>
      </c>
      <c r="O870">
        <v>2.85</v>
      </c>
      <c r="P870">
        <v>14.25</v>
      </c>
      <c r="Q870">
        <v>8880210</v>
      </c>
      <c r="R870">
        <v>0.65</v>
      </c>
      <c r="S870" t="s">
        <v>97</v>
      </c>
      <c r="T870" t="s">
        <v>42</v>
      </c>
      <c r="U870">
        <v>1.75</v>
      </c>
      <c r="V870">
        <v>2.87</v>
      </c>
      <c r="W870">
        <v>11097</v>
      </c>
      <c r="X870">
        <v>19849</v>
      </c>
      <c r="Y870">
        <v>0.56000000000000005</v>
      </c>
      <c r="Z870">
        <v>801</v>
      </c>
      <c r="AA870">
        <v>730</v>
      </c>
      <c r="AB870" t="s">
        <v>31</v>
      </c>
    </row>
    <row r="871" spans="1:28">
      <c r="A871" t="str">
        <f>"601599"</f>
        <v>601599</v>
      </c>
      <c r="B871" t="s">
        <v>1038</v>
      </c>
      <c r="C871">
        <v>1.32</v>
      </c>
      <c r="D871">
        <v>6.89</v>
      </c>
      <c r="E871">
        <v>0.09</v>
      </c>
      <c r="F871">
        <v>6.88</v>
      </c>
      <c r="G871">
        <v>6.89</v>
      </c>
      <c r="H871">
        <v>19590</v>
      </c>
      <c r="I871">
        <v>20</v>
      </c>
      <c r="J871">
        <v>0.14000000000000001</v>
      </c>
      <c r="K871">
        <v>1.19</v>
      </c>
      <c r="L871">
        <v>6.73</v>
      </c>
      <c r="M871">
        <v>6.92</v>
      </c>
      <c r="N871">
        <v>6.71</v>
      </c>
      <c r="O871">
        <v>6.8</v>
      </c>
      <c r="P871">
        <v>74.680000000000007</v>
      </c>
      <c r="Q871">
        <v>13367146</v>
      </c>
      <c r="R871">
        <v>0.76</v>
      </c>
      <c r="S871" t="s">
        <v>127</v>
      </c>
      <c r="T871" t="s">
        <v>120</v>
      </c>
      <c r="U871">
        <v>3.09</v>
      </c>
      <c r="V871">
        <v>6.82</v>
      </c>
      <c r="W871">
        <v>11567</v>
      </c>
      <c r="X871">
        <v>8023</v>
      </c>
      <c r="Y871">
        <v>1.44</v>
      </c>
      <c r="Z871">
        <v>123</v>
      </c>
      <c r="AA871">
        <v>140</v>
      </c>
      <c r="AB871" t="s">
        <v>31</v>
      </c>
    </row>
    <row r="872" spans="1:28">
      <c r="A872" t="str">
        <f>"601600"</f>
        <v>601600</v>
      </c>
      <c r="B872" t="s">
        <v>1039</v>
      </c>
      <c r="C872">
        <v>5.29</v>
      </c>
      <c r="D872">
        <v>4.18</v>
      </c>
      <c r="E872">
        <v>0.21</v>
      </c>
      <c r="F872">
        <v>4.18</v>
      </c>
      <c r="G872">
        <v>4.1900000000000004</v>
      </c>
      <c r="H872">
        <v>474279</v>
      </c>
      <c r="I872">
        <v>17</v>
      </c>
      <c r="J872">
        <v>0.23</v>
      </c>
      <c r="K872">
        <v>0.5</v>
      </c>
      <c r="L872">
        <v>3.95</v>
      </c>
      <c r="M872">
        <v>4.26</v>
      </c>
      <c r="N872">
        <v>3.88</v>
      </c>
      <c r="O872">
        <v>3.97</v>
      </c>
      <c r="P872" t="s">
        <v>31</v>
      </c>
      <c r="Q872">
        <v>197901840</v>
      </c>
      <c r="R872">
        <v>1.67</v>
      </c>
      <c r="S872" t="s">
        <v>316</v>
      </c>
      <c r="T872" t="s">
        <v>42</v>
      </c>
      <c r="U872">
        <v>9.57</v>
      </c>
      <c r="V872">
        <v>4.17</v>
      </c>
      <c r="W872">
        <v>246614</v>
      </c>
      <c r="X872">
        <v>227665</v>
      </c>
      <c r="Y872">
        <v>1.08</v>
      </c>
      <c r="Z872">
        <v>4988</v>
      </c>
      <c r="AA872">
        <v>2886</v>
      </c>
      <c r="AB872" t="s">
        <v>31</v>
      </c>
    </row>
    <row r="873" spans="1:28">
      <c r="A873" t="str">
        <f>"601601"</f>
        <v>601601</v>
      </c>
      <c r="B873" t="s">
        <v>1040</v>
      </c>
      <c r="C873">
        <v>0.94</v>
      </c>
      <c r="D873">
        <v>17.13</v>
      </c>
      <c r="E873">
        <v>0.16</v>
      </c>
      <c r="F873">
        <v>17.11</v>
      </c>
      <c r="G873">
        <v>17.13</v>
      </c>
      <c r="H873">
        <v>151707</v>
      </c>
      <c r="I873">
        <v>116</v>
      </c>
      <c r="J873">
        <v>0.05</v>
      </c>
      <c r="K873">
        <v>0.24</v>
      </c>
      <c r="L873">
        <v>17.05</v>
      </c>
      <c r="M873">
        <v>17.149999999999999</v>
      </c>
      <c r="N873">
        <v>16.79</v>
      </c>
      <c r="O873">
        <v>16.97</v>
      </c>
      <c r="P873">
        <v>14.2</v>
      </c>
      <c r="Q873">
        <v>258342528</v>
      </c>
      <c r="R873">
        <v>1.05</v>
      </c>
      <c r="S873" t="s">
        <v>1020</v>
      </c>
      <c r="T873" t="s">
        <v>30</v>
      </c>
      <c r="U873">
        <v>2.12</v>
      </c>
      <c r="V873">
        <v>17.03</v>
      </c>
      <c r="W873">
        <v>73151</v>
      </c>
      <c r="X873">
        <v>78556</v>
      </c>
      <c r="Y873">
        <v>0.93</v>
      </c>
      <c r="Z873">
        <v>388</v>
      </c>
      <c r="AA873">
        <v>212</v>
      </c>
      <c r="AB873" t="s">
        <v>31</v>
      </c>
    </row>
    <row r="874" spans="1:28">
      <c r="A874" t="str">
        <f>"601607"</f>
        <v>601607</v>
      </c>
      <c r="B874" t="s">
        <v>1041</v>
      </c>
      <c r="C874">
        <v>0.57999999999999996</v>
      </c>
      <c r="D874">
        <v>13.89</v>
      </c>
      <c r="E874">
        <v>0.08</v>
      </c>
      <c r="F874">
        <v>13.89</v>
      </c>
      <c r="G874">
        <v>13.9</v>
      </c>
      <c r="H874">
        <v>108956</v>
      </c>
      <c r="I874">
        <v>41</v>
      </c>
      <c r="J874">
        <v>-0.21</v>
      </c>
      <c r="K874">
        <v>0.56999999999999995</v>
      </c>
      <c r="L874">
        <v>13.65</v>
      </c>
      <c r="M874">
        <v>14.05</v>
      </c>
      <c r="N874">
        <v>13.65</v>
      </c>
      <c r="O874">
        <v>13.81</v>
      </c>
      <c r="P874">
        <v>16.7</v>
      </c>
      <c r="Q874">
        <v>150844480</v>
      </c>
      <c r="R874">
        <v>0.65</v>
      </c>
      <c r="S874" t="s">
        <v>145</v>
      </c>
      <c r="T874" t="s">
        <v>30</v>
      </c>
      <c r="U874">
        <v>2.9</v>
      </c>
      <c r="V874">
        <v>13.84</v>
      </c>
      <c r="W874">
        <v>56032</v>
      </c>
      <c r="X874">
        <v>52924</v>
      </c>
      <c r="Y874">
        <v>1.06</v>
      </c>
      <c r="Z874">
        <v>30</v>
      </c>
      <c r="AA874">
        <v>239</v>
      </c>
      <c r="AB874" t="s">
        <v>31</v>
      </c>
    </row>
    <row r="875" spans="1:28">
      <c r="A875" t="str">
        <f>"601608"</f>
        <v>601608</v>
      </c>
      <c r="B875" t="s">
        <v>1042</v>
      </c>
      <c r="C875">
        <v>1.52</v>
      </c>
      <c r="D875">
        <v>3.34</v>
      </c>
      <c r="E875">
        <v>0.05</v>
      </c>
      <c r="F875">
        <v>3.34</v>
      </c>
      <c r="G875">
        <v>3.35</v>
      </c>
      <c r="H875">
        <v>76479</v>
      </c>
      <c r="I875">
        <v>8</v>
      </c>
      <c r="J875">
        <v>0.3</v>
      </c>
      <c r="K875">
        <v>1.02</v>
      </c>
      <c r="L875">
        <v>3.27</v>
      </c>
      <c r="M875">
        <v>3.35</v>
      </c>
      <c r="N875">
        <v>3.27</v>
      </c>
      <c r="O875">
        <v>3.29</v>
      </c>
      <c r="P875">
        <v>17.41</v>
      </c>
      <c r="Q875">
        <v>25306504</v>
      </c>
      <c r="R875">
        <v>0.69</v>
      </c>
      <c r="S875" t="s">
        <v>481</v>
      </c>
      <c r="T875" t="s">
        <v>61</v>
      </c>
      <c r="U875">
        <v>2.4300000000000002</v>
      </c>
      <c r="V875">
        <v>3.31</v>
      </c>
      <c r="W875">
        <v>38150</v>
      </c>
      <c r="X875">
        <v>38329</v>
      </c>
      <c r="Y875">
        <v>1</v>
      </c>
      <c r="Z875">
        <v>199</v>
      </c>
      <c r="AA875">
        <v>2088</v>
      </c>
      <c r="AB875" t="s">
        <v>31</v>
      </c>
    </row>
    <row r="876" spans="1:28">
      <c r="A876" t="str">
        <f>"601616"</f>
        <v>601616</v>
      </c>
      <c r="B876" t="s">
        <v>1043</v>
      </c>
      <c r="C876">
        <v>3.22</v>
      </c>
      <c r="D876">
        <v>3.85</v>
      </c>
      <c r="E876">
        <v>0.12</v>
      </c>
      <c r="F876">
        <v>3.84</v>
      </c>
      <c r="G876">
        <v>3.85</v>
      </c>
      <c r="H876">
        <v>62926</v>
      </c>
      <c r="I876">
        <v>5</v>
      </c>
      <c r="J876">
        <v>0.52</v>
      </c>
      <c r="K876">
        <v>1.1399999999999999</v>
      </c>
      <c r="L876">
        <v>3.75</v>
      </c>
      <c r="M876">
        <v>3.86</v>
      </c>
      <c r="N876">
        <v>3.71</v>
      </c>
      <c r="O876">
        <v>3.73</v>
      </c>
      <c r="P876">
        <v>57.06</v>
      </c>
      <c r="Q876">
        <v>24001322</v>
      </c>
      <c r="R876">
        <v>1</v>
      </c>
      <c r="S876" t="s">
        <v>161</v>
      </c>
      <c r="T876" t="s">
        <v>30</v>
      </c>
      <c r="U876">
        <v>4.0199999999999996</v>
      </c>
      <c r="V876">
        <v>3.81</v>
      </c>
      <c r="W876">
        <v>18933</v>
      </c>
      <c r="X876">
        <v>43993</v>
      </c>
      <c r="Y876">
        <v>0.43</v>
      </c>
      <c r="Z876">
        <v>326</v>
      </c>
      <c r="AA876">
        <v>921</v>
      </c>
      <c r="AB876" t="s">
        <v>31</v>
      </c>
    </row>
    <row r="877" spans="1:28">
      <c r="A877" t="str">
        <f>"601618"</f>
        <v>601618</v>
      </c>
      <c r="B877" t="s">
        <v>1044</v>
      </c>
      <c r="C877">
        <v>3.37</v>
      </c>
      <c r="D877">
        <v>1.84</v>
      </c>
      <c r="E877">
        <v>0.06</v>
      </c>
      <c r="F877">
        <v>1.84</v>
      </c>
      <c r="G877">
        <v>1.85</v>
      </c>
      <c r="H877">
        <v>468787</v>
      </c>
      <c r="I877">
        <v>50</v>
      </c>
      <c r="J877">
        <v>-0.54</v>
      </c>
      <c r="K877">
        <v>0.28999999999999998</v>
      </c>
      <c r="L877">
        <v>1.79</v>
      </c>
      <c r="M877">
        <v>1.86</v>
      </c>
      <c r="N877">
        <v>1.78</v>
      </c>
      <c r="O877">
        <v>1.78</v>
      </c>
      <c r="P877">
        <v>11.88</v>
      </c>
      <c r="Q877">
        <v>85754304</v>
      </c>
      <c r="R877">
        <v>1.55</v>
      </c>
      <c r="S877" t="s">
        <v>87</v>
      </c>
      <c r="T877" t="s">
        <v>42</v>
      </c>
      <c r="U877">
        <v>4.49</v>
      </c>
      <c r="V877">
        <v>1.83</v>
      </c>
      <c r="W877">
        <v>183124</v>
      </c>
      <c r="X877">
        <v>285663</v>
      </c>
      <c r="Y877">
        <v>0.64</v>
      </c>
      <c r="Z877">
        <v>19210</v>
      </c>
      <c r="AA877">
        <v>26883</v>
      </c>
      <c r="AB877" t="s">
        <v>31</v>
      </c>
    </row>
    <row r="878" spans="1:28">
      <c r="A878" t="str">
        <f>"601628"</f>
        <v>601628</v>
      </c>
      <c r="B878" t="s">
        <v>1045</v>
      </c>
      <c r="C878">
        <v>1.01</v>
      </c>
      <c r="D878">
        <v>13.99</v>
      </c>
      <c r="E878">
        <v>0.14000000000000001</v>
      </c>
      <c r="F878">
        <v>13.98</v>
      </c>
      <c r="G878">
        <v>13.99</v>
      </c>
      <c r="H878">
        <v>181513</v>
      </c>
      <c r="I878">
        <v>125</v>
      </c>
      <c r="J878">
        <v>0</v>
      </c>
      <c r="K878">
        <v>0.09</v>
      </c>
      <c r="L878">
        <v>13.75</v>
      </c>
      <c r="M878">
        <v>14.01</v>
      </c>
      <c r="N878">
        <v>13.7</v>
      </c>
      <c r="O878">
        <v>13.85</v>
      </c>
      <c r="P878">
        <v>12.52</v>
      </c>
      <c r="Q878">
        <v>252851072</v>
      </c>
      <c r="R878">
        <v>1.25</v>
      </c>
      <c r="S878" t="s">
        <v>1020</v>
      </c>
      <c r="T878" t="s">
        <v>42</v>
      </c>
      <c r="U878">
        <v>2.2400000000000002</v>
      </c>
      <c r="V878">
        <v>13.93</v>
      </c>
      <c r="W878">
        <v>93608</v>
      </c>
      <c r="X878">
        <v>87905</v>
      </c>
      <c r="Y878">
        <v>1.06</v>
      </c>
      <c r="Z878">
        <v>102</v>
      </c>
      <c r="AA878">
        <v>92</v>
      </c>
      <c r="AB878" t="s">
        <v>31</v>
      </c>
    </row>
    <row r="879" spans="1:28">
      <c r="A879" t="str">
        <f>"601633"</f>
        <v>601633</v>
      </c>
      <c r="B879" t="s">
        <v>1046</v>
      </c>
      <c r="C879">
        <v>-1.61</v>
      </c>
      <c r="D879">
        <v>43.36</v>
      </c>
      <c r="E879">
        <v>-0.71</v>
      </c>
      <c r="F879">
        <v>43.33</v>
      </c>
      <c r="G879">
        <v>43.34</v>
      </c>
      <c r="H879">
        <v>42814</v>
      </c>
      <c r="I879">
        <v>6</v>
      </c>
      <c r="J879">
        <v>-0.41</v>
      </c>
      <c r="K879">
        <v>1.41</v>
      </c>
      <c r="L879">
        <v>44.25</v>
      </c>
      <c r="M879">
        <v>44.25</v>
      </c>
      <c r="N879">
        <v>42.5</v>
      </c>
      <c r="O879">
        <v>44.07</v>
      </c>
      <c r="P879">
        <v>16.03</v>
      </c>
      <c r="Q879">
        <v>185665200</v>
      </c>
      <c r="R879">
        <v>0.77</v>
      </c>
      <c r="S879" t="s">
        <v>39</v>
      </c>
      <c r="T879" t="s">
        <v>224</v>
      </c>
      <c r="U879">
        <v>3.97</v>
      </c>
      <c r="V879">
        <v>43.36</v>
      </c>
      <c r="W879">
        <v>21862</v>
      </c>
      <c r="X879">
        <v>20952</v>
      </c>
      <c r="Y879">
        <v>1.04</v>
      </c>
      <c r="Z879">
        <v>2</v>
      </c>
      <c r="AA879">
        <v>12</v>
      </c>
      <c r="AB879" t="s">
        <v>31</v>
      </c>
    </row>
    <row r="880" spans="1:28">
      <c r="A880" t="str">
        <f>"601636"</f>
        <v>601636</v>
      </c>
      <c r="B880" t="s">
        <v>1047</v>
      </c>
      <c r="C880">
        <v>-2.0299999999999998</v>
      </c>
      <c r="D880">
        <v>7.72</v>
      </c>
      <c r="E880">
        <v>-0.16</v>
      </c>
      <c r="F880">
        <v>7.7</v>
      </c>
      <c r="G880">
        <v>7.71</v>
      </c>
      <c r="H880">
        <v>62049</v>
      </c>
      <c r="I880">
        <v>610</v>
      </c>
      <c r="J880">
        <v>0.12</v>
      </c>
      <c r="K880">
        <v>3.64</v>
      </c>
      <c r="L880">
        <v>7.85</v>
      </c>
      <c r="M880">
        <v>7.85</v>
      </c>
      <c r="N880">
        <v>7.5</v>
      </c>
      <c r="O880">
        <v>7.88</v>
      </c>
      <c r="P880">
        <v>12.98</v>
      </c>
      <c r="Q880">
        <v>47676176</v>
      </c>
      <c r="R880">
        <v>0.56000000000000005</v>
      </c>
      <c r="S880" t="s">
        <v>268</v>
      </c>
      <c r="T880" t="s">
        <v>76</v>
      </c>
      <c r="U880">
        <v>4.4400000000000004</v>
      </c>
      <c r="V880">
        <v>7.68</v>
      </c>
      <c r="W880">
        <v>33559</v>
      </c>
      <c r="X880">
        <v>28490</v>
      </c>
      <c r="Y880">
        <v>1.18</v>
      </c>
      <c r="Z880">
        <v>203</v>
      </c>
      <c r="AA880">
        <v>210</v>
      </c>
      <c r="AB880" t="s">
        <v>31</v>
      </c>
    </row>
    <row r="881" spans="1:28">
      <c r="A881" t="str">
        <f>"601666"</f>
        <v>601666</v>
      </c>
      <c r="B881" t="s">
        <v>1048</v>
      </c>
      <c r="C881">
        <v>1.95</v>
      </c>
      <c r="D881">
        <v>5.24</v>
      </c>
      <c r="E881">
        <v>0.1</v>
      </c>
      <c r="F881">
        <v>5.23</v>
      </c>
      <c r="G881">
        <v>5.24</v>
      </c>
      <c r="H881">
        <v>66519</v>
      </c>
      <c r="I881">
        <v>4</v>
      </c>
      <c r="J881">
        <v>0.19</v>
      </c>
      <c r="K881">
        <v>0.28000000000000003</v>
      </c>
      <c r="L881">
        <v>5.13</v>
      </c>
      <c r="M881">
        <v>5.28</v>
      </c>
      <c r="N881">
        <v>5.0999999999999996</v>
      </c>
      <c r="O881">
        <v>5.14</v>
      </c>
      <c r="P881">
        <v>15.28</v>
      </c>
      <c r="Q881">
        <v>34581328</v>
      </c>
      <c r="R881">
        <v>0.72</v>
      </c>
      <c r="S881" t="s">
        <v>208</v>
      </c>
      <c r="T881" t="s">
        <v>61</v>
      </c>
      <c r="U881">
        <v>3.5</v>
      </c>
      <c r="V881">
        <v>5.2</v>
      </c>
      <c r="W881">
        <v>31568</v>
      </c>
      <c r="X881">
        <v>34951</v>
      </c>
      <c r="Y881">
        <v>0.9</v>
      </c>
      <c r="Z881">
        <v>365</v>
      </c>
      <c r="AA881">
        <v>265</v>
      </c>
      <c r="AB881" t="s">
        <v>31</v>
      </c>
    </row>
    <row r="882" spans="1:28">
      <c r="A882" t="str">
        <f>"601668"</f>
        <v>601668</v>
      </c>
      <c r="B882" t="s">
        <v>1049</v>
      </c>
      <c r="C882">
        <v>1.24</v>
      </c>
      <c r="D882">
        <v>3.26</v>
      </c>
      <c r="E882">
        <v>0.04</v>
      </c>
      <c r="F882">
        <v>3.26</v>
      </c>
      <c r="G882">
        <v>3.27</v>
      </c>
      <c r="H882">
        <v>947346</v>
      </c>
      <c r="I882">
        <v>342</v>
      </c>
      <c r="J882">
        <v>-0.3</v>
      </c>
      <c r="K882">
        <v>0.32</v>
      </c>
      <c r="L882">
        <v>3.22</v>
      </c>
      <c r="M882">
        <v>3.27</v>
      </c>
      <c r="N882">
        <v>3.2</v>
      </c>
      <c r="O882">
        <v>3.22</v>
      </c>
      <c r="P882">
        <v>5.47</v>
      </c>
      <c r="Q882">
        <v>307541056</v>
      </c>
      <c r="R882">
        <v>1.43</v>
      </c>
      <c r="S882" t="s">
        <v>87</v>
      </c>
      <c r="T882" t="s">
        <v>42</v>
      </c>
      <c r="U882">
        <v>2.17</v>
      </c>
      <c r="V882">
        <v>3.25</v>
      </c>
      <c r="W882">
        <v>434867</v>
      </c>
      <c r="X882">
        <v>512479</v>
      </c>
      <c r="Y882">
        <v>0.85</v>
      </c>
      <c r="Z882">
        <v>8807</v>
      </c>
      <c r="AA882">
        <v>26505</v>
      </c>
      <c r="AB882" t="s">
        <v>31</v>
      </c>
    </row>
    <row r="883" spans="1:28">
      <c r="A883" t="str">
        <f>"601669"</f>
        <v>601669</v>
      </c>
      <c r="B883" t="s">
        <v>1050</v>
      </c>
      <c r="C883">
        <v>3.82</v>
      </c>
      <c r="D883">
        <v>3.26</v>
      </c>
      <c r="E883">
        <v>0.12</v>
      </c>
      <c r="F883">
        <v>3.25</v>
      </c>
      <c r="G883">
        <v>3.26</v>
      </c>
      <c r="H883">
        <v>936581</v>
      </c>
      <c r="I883">
        <v>29</v>
      </c>
      <c r="J883">
        <v>0.3</v>
      </c>
      <c r="K883">
        <v>3.12</v>
      </c>
      <c r="L883">
        <v>3.14</v>
      </c>
      <c r="M883">
        <v>3.28</v>
      </c>
      <c r="N883">
        <v>3.12</v>
      </c>
      <c r="O883">
        <v>3.14</v>
      </c>
      <c r="P883">
        <v>7.02</v>
      </c>
      <c r="Q883">
        <v>302200288</v>
      </c>
      <c r="R883">
        <v>2.19</v>
      </c>
      <c r="S883" t="s">
        <v>87</v>
      </c>
      <c r="T883" t="s">
        <v>42</v>
      </c>
      <c r="U883">
        <v>5.0999999999999996</v>
      </c>
      <c r="V883">
        <v>3.23</v>
      </c>
      <c r="W883">
        <v>404403</v>
      </c>
      <c r="X883">
        <v>532178</v>
      </c>
      <c r="Y883">
        <v>0.76</v>
      </c>
      <c r="Z883">
        <v>1548</v>
      </c>
      <c r="AA883">
        <v>1969</v>
      </c>
      <c r="AB883" t="s">
        <v>31</v>
      </c>
    </row>
    <row r="884" spans="1:28">
      <c r="A884" t="str">
        <f>"601677"</f>
        <v>601677</v>
      </c>
      <c r="B884" t="s">
        <v>1051</v>
      </c>
      <c r="C884">
        <v>2.0499999999999998</v>
      </c>
      <c r="D884">
        <v>7.96</v>
      </c>
      <c r="E884">
        <v>0.16</v>
      </c>
      <c r="F884">
        <v>7.96</v>
      </c>
      <c r="G884">
        <v>7.97</v>
      </c>
      <c r="H884">
        <v>7666</v>
      </c>
      <c r="I884">
        <v>90</v>
      </c>
      <c r="J884">
        <v>-0.12</v>
      </c>
      <c r="K884">
        <v>0.71</v>
      </c>
      <c r="L884">
        <v>7.83</v>
      </c>
      <c r="M884">
        <v>8</v>
      </c>
      <c r="N884">
        <v>7.8</v>
      </c>
      <c r="O884">
        <v>7.8</v>
      </c>
      <c r="P884">
        <v>43.44</v>
      </c>
      <c r="Q884">
        <v>6068509</v>
      </c>
      <c r="R884">
        <v>0.54</v>
      </c>
      <c r="S884" t="s">
        <v>316</v>
      </c>
      <c r="T884" t="s">
        <v>61</v>
      </c>
      <c r="U884">
        <v>2.56</v>
      </c>
      <c r="V884">
        <v>7.92</v>
      </c>
      <c r="W884">
        <v>4070</v>
      </c>
      <c r="X884">
        <v>3596</v>
      </c>
      <c r="Y884">
        <v>1.1299999999999999</v>
      </c>
      <c r="Z884">
        <v>103</v>
      </c>
      <c r="AA884">
        <v>16</v>
      </c>
      <c r="AB884" t="s">
        <v>31</v>
      </c>
    </row>
    <row r="885" spans="1:28">
      <c r="A885" t="str">
        <f>"601678"</f>
        <v>601678</v>
      </c>
      <c r="B885" t="s">
        <v>1052</v>
      </c>
      <c r="C885">
        <v>2.5</v>
      </c>
      <c r="D885">
        <v>7.38</v>
      </c>
      <c r="E885">
        <v>0.18</v>
      </c>
      <c r="F885">
        <v>7.37</v>
      </c>
      <c r="G885">
        <v>7.38</v>
      </c>
      <c r="H885">
        <v>30724</v>
      </c>
      <c r="I885">
        <v>3</v>
      </c>
      <c r="J885">
        <v>-0.27</v>
      </c>
      <c r="K885">
        <v>0.61</v>
      </c>
      <c r="L885">
        <v>7.18</v>
      </c>
      <c r="M885">
        <v>7.4</v>
      </c>
      <c r="N885">
        <v>7.13</v>
      </c>
      <c r="O885">
        <v>7.2</v>
      </c>
      <c r="P885">
        <v>18.78</v>
      </c>
      <c r="Q885">
        <v>22409180</v>
      </c>
      <c r="R885">
        <v>0.88</v>
      </c>
      <c r="S885" t="s">
        <v>137</v>
      </c>
      <c r="T885" t="s">
        <v>57</v>
      </c>
      <c r="U885">
        <v>3.75</v>
      </c>
      <c r="V885">
        <v>7.29</v>
      </c>
      <c r="W885">
        <v>13835</v>
      </c>
      <c r="X885">
        <v>16889</v>
      </c>
      <c r="Y885">
        <v>0.82</v>
      </c>
      <c r="Z885">
        <v>300</v>
      </c>
      <c r="AA885">
        <v>47</v>
      </c>
      <c r="AB885" t="s">
        <v>31</v>
      </c>
    </row>
    <row r="886" spans="1:28">
      <c r="A886" t="str">
        <f>"601688"</f>
        <v>601688</v>
      </c>
      <c r="B886" t="s">
        <v>1053</v>
      </c>
      <c r="C886">
        <v>1.04</v>
      </c>
      <c r="D886">
        <v>8.7200000000000006</v>
      </c>
      <c r="E886">
        <v>0.09</v>
      </c>
      <c r="F886">
        <v>8.7200000000000006</v>
      </c>
      <c r="G886">
        <v>8.73</v>
      </c>
      <c r="H886">
        <v>241385</v>
      </c>
      <c r="I886">
        <v>50</v>
      </c>
      <c r="J886">
        <v>0.11</v>
      </c>
      <c r="K886">
        <v>0.43</v>
      </c>
      <c r="L886">
        <v>8.68</v>
      </c>
      <c r="M886">
        <v>8.74</v>
      </c>
      <c r="N886">
        <v>8.56</v>
      </c>
      <c r="O886">
        <v>8.6300000000000008</v>
      </c>
      <c r="P886">
        <v>18.95</v>
      </c>
      <c r="Q886">
        <v>209197376</v>
      </c>
      <c r="R886">
        <v>0.81</v>
      </c>
      <c r="S886" t="s">
        <v>72</v>
      </c>
      <c r="T886" t="s">
        <v>120</v>
      </c>
      <c r="U886">
        <v>2.09</v>
      </c>
      <c r="V886">
        <v>8.67</v>
      </c>
      <c r="W886">
        <v>114809</v>
      </c>
      <c r="X886">
        <v>126576</v>
      </c>
      <c r="Y886">
        <v>0.91</v>
      </c>
      <c r="Z886">
        <v>103</v>
      </c>
      <c r="AA886">
        <v>3646</v>
      </c>
      <c r="AB886" t="s">
        <v>31</v>
      </c>
    </row>
    <row r="887" spans="1:28">
      <c r="A887" t="str">
        <f>"601699"</f>
        <v>601699</v>
      </c>
      <c r="B887" t="s">
        <v>1054</v>
      </c>
      <c r="C887">
        <v>0.96</v>
      </c>
      <c r="D887">
        <v>11.54</v>
      </c>
      <c r="E887">
        <v>0.11</v>
      </c>
      <c r="F887">
        <v>11.55</v>
      </c>
      <c r="G887">
        <v>11.56</v>
      </c>
      <c r="H887">
        <v>88351</v>
      </c>
      <c r="I887">
        <v>55</v>
      </c>
      <c r="J887">
        <v>0</v>
      </c>
      <c r="K887">
        <v>0.38</v>
      </c>
      <c r="L887">
        <v>11.51</v>
      </c>
      <c r="M887">
        <v>11.6</v>
      </c>
      <c r="N887">
        <v>11.41</v>
      </c>
      <c r="O887">
        <v>11.43</v>
      </c>
      <c r="P887">
        <v>14.08</v>
      </c>
      <c r="Q887">
        <v>101822744</v>
      </c>
      <c r="R887">
        <v>0.67</v>
      </c>
      <c r="S887" t="s">
        <v>208</v>
      </c>
      <c r="T887" t="s">
        <v>212</v>
      </c>
      <c r="U887">
        <v>1.66</v>
      </c>
      <c r="V887">
        <v>11.52</v>
      </c>
      <c r="W887">
        <v>47891</v>
      </c>
      <c r="X887">
        <v>40460</v>
      </c>
      <c r="Y887">
        <v>1.18</v>
      </c>
      <c r="Z887">
        <v>352</v>
      </c>
      <c r="AA887">
        <v>221</v>
      </c>
      <c r="AB887" t="s">
        <v>31</v>
      </c>
    </row>
    <row r="888" spans="1:28">
      <c r="A888" t="str">
        <f>"601700"</f>
        <v>601700</v>
      </c>
      <c r="B888" t="s">
        <v>1055</v>
      </c>
      <c r="C888">
        <v>7.4</v>
      </c>
      <c r="D888">
        <v>12.92</v>
      </c>
      <c r="E888">
        <v>0.89</v>
      </c>
      <c r="F888">
        <v>12.92</v>
      </c>
      <c r="G888">
        <v>12.93</v>
      </c>
      <c r="H888">
        <v>95353</v>
      </c>
      <c r="I888">
        <v>6</v>
      </c>
      <c r="J888">
        <v>0.15</v>
      </c>
      <c r="K888">
        <v>5.82</v>
      </c>
      <c r="L888">
        <v>12.02</v>
      </c>
      <c r="M888">
        <v>12.98</v>
      </c>
      <c r="N888">
        <v>11.95</v>
      </c>
      <c r="O888">
        <v>12.03</v>
      </c>
      <c r="P888">
        <v>26.08</v>
      </c>
      <c r="Q888">
        <v>121233536</v>
      </c>
      <c r="R888">
        <v>2.5499999999999998</v>
      </c>
      <c r="S888" t="s">
        <v>161</v>
      </c>
      <c r="T888" t="s">
        <v>120</v>
      </c>
      <c r="U888">
        <v>8.56</v>
      </c>
      <c r="V888">
        <v>12.71</v>
      </c>
      <c r="W888">
        <v>40144</v>
      </c>
      <c r="X888">
        <v>55209</v>
      </c>
      <c r="Y888">
        <v>0.73</v>
      </c>
      <c r="Z888">
        <v>473</v>
      </c>
      <c r="AA888">
        <v>210</v>
      </c>
      <c r="AB888" t="s">
        <v>31</v>
      </c>
    </row>
    <row r="889" spans="1:28">
      <c r="A889" t="str">
        <f>"601717"</f>
        <v>601717</v>
      </c>
      <c r="B889" t="s">
        <v>1056</v>
      </c>
      <c r="C889">
        <v>1.34</v>
      </c>
      <c r="D889">
        <v>6.06</v>
      </c>
      <c r="E889">
        <v>0.08</v>
      </c>
      <c r="F889">
        <v>6.05</v>
      </c>
      <c r="G889">
        <v>6.06</v>
      </c>
      <c r="H889">
        <v>85451</v>
      </c>
      <c r="I889">
        <v>423</v>
      </c>
      <c r="J889">
        <v>0</v>
      </c>
      <c r="K889">
        <v>0.62</v>
      </c>
      <c r="L889">
        <v>5.98</v>
      </c>
      <c r="M889">
        <v>6.09</v>
      </c>
      <c r="N889">
        <v>5.97</v>
      </c>
      <c r="O889">
        <v>5.98</v>
      </c>
      <c r="P889">
        <v>10.55</v>
      </c>
      <c r="Q889">
        <v>51484156</v>
      </c>
      <c r="R889">
        <v>0.71</v>
      </c>
      <c r="S889" t="s">
        <v>75</v>
      </c>
      <c r="T889" t="s">
        <v>61</v>
      </c>
      <c r="U889">
        <v>2.0099999999999998</v>
      </c>
      <c r="V889">
        <v>6.02</v>
      </c>
      <c r="W889">
        <v>46221</v>
      </c>
      <c r="X889">
        <v>39230</v>
      </c>
      <c r="Y889">
        <v>1.18</v>
      </c>
      <c r="Z889">
        <v>511</v>
      </c>
      <c r="AA889">
        <v>1207</v>
      </c>
      <c r="AB889" t="s">
        <v>31</v>
      </c>
    </row>
    <row r="890" spans="1:28">
      <c r="A890" t="str">
        <f>"601718"</f>
        <v>601718</v>
      </c>
      <c r="B890" t="s">
        <v>1057</v>
      </c>
      <c r="C890">
        <v>1.52</v>
      </c>
      <c r="D890">
        <v>2.68</v>
      </c>
      <c r="E890">
        <v>0.04</v>
      </c>
      <c r="F890">
        <v>2.68</v>
      </c>
      <c r="G890">
        <v>2.69</v>
      </c>
      <c r="H890">
        <v>102778</v>
      </c>
      <c r="I890">
        <v>16</v>
      </c>
      <c r="J890">
        <v>0</v>
      </c>
      <c r="K890">
        <v>0.27</v>
      </c>
      <c r="L890">
        <v>2.64</v>
      </c>
      <c r="M890">
        <v>2.69</v>
      </c>
      <c r="N890">
        <v>2.61</v>
      </c>
      <c r="O890">
        <v>2.64</v>
      </c>
      <c r="P890">
        <v>12.82</v>
      </c>
      <c r="Q890">
        <v>27309190</v>
      </c>
      <c r="R890">
        <v>0.87</v>
      </c>
      <c r="S890" t="s">
        <v>158</v>
      </c>
      <c r="T890" t="s">
        <v>42</v>
      </c>
      <c r="U890">
        <v>3.03</v>
      </c>
      <c r="V890">
        <v>2.66</v>
      </c>
      <c r="W890">
        <v>40055</v>
      </c>
      <c r="X890">
        <v>62723</v>
      </c>
      <c r="Y890">
        <v>0.64</v>
      </c>
      <c r="Z890">
        <v>419</v>
      </c>
      <c r="AA890">
        <v>4518</v>
      </c>
      <c r="AB890" t="s">
        <v>31</v>
      </c>
    </row>
    <row r="891" spans="1:28">
      <c r="A891" t="str">
        <f>"601727"</f>
        <v>601727</v>
      </c>
      <c r="B891" t="s">
        <v>1058</v>
      </c>
      <c r="C891">
        <v>2.5</v>
      </c>
      <c r="D891">
        <v>3.69</v>
      </c>
      <c r="E891">
        <v>0.09</v>
      </c>
      <c r="F891">
        <v>3.68</v>
      </c>
      <c r="G891">
        <v>3.69</v>
      </c>
      <c r="H891">
        <v>59482</v>
      </c>
      <c r="I891">
        <v>15</v>
      </c>
      <c r="J891">
        <v>0</v>
      </c>
      <c r="K891">
        <v>0.06</v>
      </c>
      <c r="L891">
        <v>3.6</v>
      </c>
      <c r="M891">
        <v>3.69</v>
      </c>
      <c r="N891">
        <v>3.59</v>
      </c>
      <c r="O891">
        <v>3.6</v>
      </c>
      <c r="P891">
        <v>16.21</v>
      </c>
      <c r="Q891">
        <v>21659100</v>
      </c>
      <c r="R891">
        <v>0.64</v>
      </c>
      <c r="S891" t="s">
        <v>161</v>
      </c>
      <c r="T891" t="s">
        <v>30</v>
      </c>
      <c r="U891">
        <v>2.78</v>
      </c>
      <c r="V891">
        <v>3.64</v>
      </c>
      <c r="W891">
        <v>19659</v>
      </c>
      <c r="X891">
        <v>39823</v>
      </c>
      <c r="Y891">
        <v>0.49</v>
      </c>
      <c r="Z891">
        <v>1497</v>
      </c>
      <c r="AA891">
        <v>315</v>
      </c>
      <c r="AB891" t="s">
        <v>31</v>
      </c>
    </row>
    <row r="892" spans="1:28">
      <c r="A892" t="str">
        <f>"601766"</f>
        <v>601766</v>
      </c>
      <c r="B892" t="s">
        <v>1059</v>
      </c>
      <c r="C892">
        <v>8.67</v>
      </c>
      <c r="D892">
        <v>4.8899999999999997</v>
      </c>
      <c r="E892">
        <v>0.39</v>
      </c>
      <c r="F892">
        <v>4.88</v>
      </c>
      <c r="G892">
        <v>4.8899999999999997</v>
      </c>
      <c r="H892">
        <v>1850723</v>
      </c>
      <c r="I892">
        <v>89</v>
      </c>
      <c r="J892">
        <v>0</v>
      </c>
      <c r="K892">
        <v>1.83</v>
      </c>
      <c r="L892">
        <v>4.54</v>
      </c>
      <c r="M892">
        <v>4.9400000000000004</v>
      </c>
      <c r="N892">
        <v>4.4800000000000004</v>
      </c>
      <c r="O892">
        <v>4.5</v>
      </c>
      <c r="P892">
        <v>20.170000000000002</v>
      </c>
      <c r="Q892">
        <v>888171968</v>
      </c>
      <c r="R892">
        <v>1.78</v>
      </c>
      <c r="S892" t="s">
        <v>556</v>
      </c>
      <c r="T892" t="s">
        <v>42</v>
      </c>
      <c r="U892">
        <v>10.220000000000001</v>
      </c>
      <c r="V892">
        <v>4.8</v>
      </c>
      <c r="W892">
        <v>920289</v>
      </c>
      <c r="X892">
        <v>930434</v>
      </c>
      <c r="Y892">
        <v>0.99</v>
      </c>
      <c r="Z892">
        <v>473</v>
      </c>
      <c r="AA892">
        <v>3379</v>
      </c>
      <c r="AB892" t="s">
        <v>31</v>
      </c>
    </row>
    <row r="893" spans="1:28">
      <c r="A893" t="str">
        <f>"601777"</f>
        <v>601777</v>
      </c>
      <c r="B893" t="s">
        <v>1060</v>
      </c>
      <c r="C893">
        <v>1.71</v>
      </c>
      <c r="D893">
        <v>6.56</v>
      </c>
      <c r="E893">
        <v>0.11</v>
      </c>
      <c r="F893">
        <v>6.55</v>
      </c>
      <c r="G893">
        <v>6.58</v>
      </c>
      <c r="H893">
        <v>27944</v>
      </c>
      <c r="I893">
        <v>300</v>
      </c>
      <c r="J893">
        <v>0.3</v>
      </c>
      <c r="K893">
        <v>0.86</v>
      </c>
      <c r="L893">
        <v>6.35</v>
      </c>
      <c r="M893">
        <v>6.58</v>
      </c>
      <c r="N893">
        <v>6.3</v>
      </c>
      <c r="O893">
        <v>6.45</v>
      </c>
      <c r="P893">
        <v>18.75</v>
      </c>
      <c r="Q893">
        <v>18062768</v>
      </c>
      <c r="R893">
        <v>0.5</v>
      </c>
      <c r="S893" t="s">
        <v>175</v>
      </c>
      <c r="T893" t="s">
        <v>184</v>
      </c>
      <c r="U893">
        <v>4.34</v>
      </c>
      <c r="V893">
        <v>6.46</v>
      </c>
      <c r="W893">
        <v>12444</v>
      </c>
      <c r="X893">
        <v>15500</v>
      </c>
      <c r="Y893">
        <v>0.8</v>
      </c>
      <c r="Z893">
        <v>25</v>
      </c>
      <c r="AA893">
        <v>238</v>
      </c>
      <c r="AB893" t="s">
        <v>31</v>
      </c>
    </row>
    <row r="894" spans="1:28">
      <c r="A894" t="str">
        <f>"601788"</f>
        <v>601788</v>
      </c>
      <c r="B894" t="s">
        <v>1061</v>
      </c>
      <c r="C894">
        <v>-0.32</v>
      </c>
      <c r="D894">
        <v>9.24</v>
      </c>
      <c r="E894">
        <v>-0.03</v>
      </c>
      <c r="F894">
        <v>9.24</v>
      </c>
      <c r="G894">
        <v>9.25</v>
      </c>
      <c r="H894">
        <v>146470</v>
      </c>
      <c r="I894">
        <v>7</v>
      </c>
      <c r="J894">
        <v>0.1</v>
      </c>
      <c r="K894">
        <v>0.43</v>
      </c>
      <c r="L894">
        <v>9.19</v>
      </c>
      <c r="M894">
        <v>9.25</v>
      </c>
      <c r="N894">
        <v>9.1</v>
      </c>
      <c r="O894">
        <v>9.27</v>
      </c>
      <c r="P894">
        <v>19.47</v>
      </c>
      <c r="Q894">
        <v>134364240</v>
      </c>
      <c r="R894">
        <v>0.83</v>
      </c>
      <c r="S894" t="s">
        <v>72</v>
      </c>
      <c r="T894" t="s">
        <v>30</v>
      </c>
      <c r="U894">
        <v>1.62</v>
      </c>
      <c r="V894">
        <v>9.17</v>
      </c>
      <c r="W894">
        <v>81292</v>
      </c>
      <c r="X894">
        <v>65178</v>
      </c>
      <c r="Y894">
        <v>1.25</v>
      </c>
      <c r="Z894">
        <v>47</v>
      </c>
      <c r="AA894">
        <v>1083</v>
      </c>
      <c r="AB894" t="s">
        <v>31</v>
      </c>
    </row>
    <row r="895" spans="1:28">
      <c r="A895" t="str">
        <f>"601789"</f>
        <v>601789</v>
      </c>
      <c r="B895" t="s">
        <v>1062</v>
      </c>
      <c r="C895">
        <v>2.0699999999999998</v>
      </c>
      <c r="D895">
        <v>8.3699999999999992</v>
      </c>
      <c r="E895">
        <v>0.17</v>
      </c>
      <c r="F895">
        <v>8.3699999999999992</v>
      </c>
      <c r="G895">
        <v>8.3800000000000008</v>
      </c>
      <c r="H895">
        <v>141725</v>
      </c>
      <c r="I895">
        <v>50</v>
      </c>
      <c r="J895">
        <v>-0.11</v>
      </c>
      <c r="K895">
        <v>14.17</v>
      </c>
      <c r="L895">
        <v>8.2100000000000009</v>
      </c>
      <c r="M895">
        <v>8.49</v>
      </c>
      <c r="N895">
        <v>8.1</v>
      </c>
      <c r="O895">
        <v>8.1999999999999993</v>
      </c>
      <c r="P895">
        <v>21.64</v>
      </c>
      <c r="Q895">
        <v>117997408</v>
      </c>
      <c r="R895">
        <v>2.71</v>
      </c>
      <c r="S895" t="s">
        <v>87</v>
      </c>
      <c r="T895" t="s">
        <v>95</v>
      </c>
      <c r="U895">
        <v>4.76</v>
      </c>
      <c r="V895">
        <v>8.33</v>
      </c>
      <c r="W895">
        <v>62867</v>
      </c>
      <c r="X895">
        <v>78858</v>
      </c>
      <c r="Y895">
        <v>0.8</v>
      </c>
      <c r="Z895">
        <v>198</v>
      </c>
      <c r="AA895">
        <v>1054</v>
      </c>
      <c r="AB895" t="s">
        <v>31</v>
      </c>
    </row>
    <row r="896" spans="1:28">
      <c r="A896" t="str">
        <f>"601798"</f>
        <v>601798</v>
      </c>
      <c r="B896" t="s">
        <v>1063</v>
      </c>
      <c r="C896">
        <v>7.33</v>
      </c>
      <c r="D896">
        <v>12.45</v>
      </c>
      <c r="E896">
        <v>0.85</v>
      </c>
      <c r="F896">
        <v>12.43</v>
      </c>
      <c r="G896">
        <v>12.44</v>
      </c>
      <c r="H896">
        <v>66128</v>
      </c>
      <c r="I896">
        <v>21</v>
      </c>
      <c r="J896">
        <v>-0.24</v>
      </c>
      <c r="K896">
        <v>5.7</v>
      </c>
      <c r="L896">
        <v>11.51</v>
      </c>
      <c r="M896">
        <v>12.62</v>
      </c>
      <c r="N896">
        <v>11.51</v>
      </c>
      <c r="O896">
        <v>11.6</v>
      </c>
      <c r="P896">
        <v>46.68</v>
      </c>
      <c r="Q896">
        <v>80583656</v>
      </c>
      <c r="R896">
        <v>1.32</v>
      </c>
      <c r="S896" t="s">
        <v>439</v>
      </c>
      <c r="T896" t="s">
        <v>188</v>
      </c>
      <c r="U896">
        <v>9.57</v>
      </c>
      <c r="V896">
        <v>12.19</v>
      </c>
      <c r="W896">
        <v>28170</v>
      </c>
      <c r="X896">
        <v>37958</v>
      </c>
      <c r="Y896">
        <v>0.74</v>
      </c>
      <c r="Z896">
        <v>8</v>
      </c>
      <c r="AA896">
        <v>5</v>
      </c>
      <c r="AB896" t="s">
        <v>31</v>
      </c>
    </row>
    <row r="897" spans="1:28">
      <c r="A897" t="str">
        <f>"601799"</f>
        <v>601799</v>
      </c>
      <c r="B897" t="s">
        <v>1064</v>
      </c>
      <c r="C897">
        <v>2.84</v>
      </c>
      <c r="D897">
        <v>12.66</v>
      </c>
      <c r="E897">
        <v>0.35</v>
      </c>
      <c r="F897">
        <v>12.66</v>
      </c>
      <c r="G897">
        <v>12.67</v>
      </c>
      <c r="H897">
        <v>31412</v>
      </c>
      <c r="I897">
        <v>1</v>
      </c>
      <c r="J897">
        <v>-7.0000000000000007E-2</v>
      </c>
      <c r="K897">
        <v>4.5199999999999996</v>
      </c>
      <c r="L897">
        <v>12.21</v>
      </c>
      <c r="M897">
        <v>12.68</v>
      </c>
      <c r="N897">
        <v>11.85</v>
      </c>
      <c r="O897">
        <v>12.31</v>
      </c>
      <c r="P897">
        <v>16.739999999999998</v>
      </c>
      <c r="Q897">
        <v>39056576</v>
      </c>
      <c r="R897">
        <v>1.3</v>
      </c>
      <c r="S897" t="s">
        <v>149</v>
      </c>
      <c r="T897" t="s">
        <v>120</v>
      </c>
      <c r="U897">
        <v>6.74</v>
      </c>
      <c r="V897">
        <v>12.43</v>
      </c>
      <c r="W897">
        <v>15409</v>
      </c>
      <c r="X897">
        <v>16003</v>
      </c>
      <c r="Y897">
        <v>0.96</v>
      </c>
      <c r="Z897">
        <v>94</v>
      </c>
      <c r="AA897">
        <v>333</v>
      </c>
      <c r="AB897" t="s">
        <v>31</v>
      </c>
    </row>
    <row r="898" spans="1:28">
      <c r="A898" t="str">
        <f>"601800"</f>
        <v>601800</v>
      </c>
      <c r="B898" t="s">
        <v>1065</v>
      </c>
      <c r="C898">
        <v>2.96</v>
      </c>
      <c r="D898">
        <v>4.17</v>
      </c>
      <c r="E898">
        <v>0.12</v>
      </c>
      <c r="F898">
        <v>4.17</v>
      </c>
      <c r="G898">
        <v>4.18</v>
      </c>
      <c r="H898">
        <v>223788</v>
      </c>
      <c r="I898">
        <v>35</v>
      </c>
      <c r="J898">
        <v>0</v>
      </c>
      <c r="K898">
        <v>1.66</v>
      </c>
      <c r="L898">
        <v>4.07</v>
      </c>
      <c r="M898">
        <v>4.18</v>
      </c>
      <c r="N898">
        <v>4.05</v>
      </c>
      <c r="O898">
        <v>4.05</v>
      </c>
      <c r="P898">
        <v>6.3</v>
      </c>
      <c r="Q898">
        <v>92276352</v>
      </c>
      <c r="R898">
        <v>1.33</v>
      </c>
      <c r="S898" t="s">
        <v>87</v>
      </c>
      <c r="T898" t="s">
        <v>42</v>
      </c>
      <c r="U898">
        <v>3.21</v>
      </c>
      <c r="V898">
        <v>4.12</v>
      </c>
      <c r="W898">
        <v>99522</v>
      </c>
      <c r="X898">
        <v>124266</v>
      </c>
      <c r="Y898">
        <v>0.8</v>
      </c>
      <c r="Z898">
        <v>1837</v>
      </c>
      <c r="AA898">
        <v>7271</v>
      </c>
      <c r="AB898" t="s">
        <v>31</v>
      </c>
    </row>
    <row r="899" spans="1:28">
      <c r="A899" t="str">
        <f>"601801"</f>
        <v>601801</v>
      </c>
      <c r="B899" t="s">
        <v>1066</v>
      </c>
      <c r="C899">
        <v>3.42</v>
      </c>
      <c r="D899">
        <v>12.1</v>
      </c>
      <c r="E899">
        <v>0.4</v>
      </c>
      <c r="F899">
        <v>12.1</v>
      </c>
      <c r="G899">
        <v>12.13</v>
      </c>
      <c r="H899">
        <v>82550</v>
      </c>
      <c r="I899">
        <v>20</v>
      </c>
      <c r="J899">
        <v>-0.08</v>
      </c>
      <c r="K899">
        <v>0.91</v>
      </c>
      <c r="L899">
        <v>11.76</v>
      </c>
      <c r="M899">
        <v>12.27</v>
      </c>
      <c r="N899">
        <v>11.75</v>
      </c>
      <c r="O899">
        <v>11.7</v>
      </c>
      <c r="P899">
        <v>19.29</v>
      </c>
      <c r="Q899">
        <v>99707440</v>
      </c>
      <c r="R899">
        <v>1.2</v>
      </c>
      <c r="S899" t="s">
        <v>466</v>
      </c>
      <c r="T899" t="s">
        <v>52</v>
      </c>
      <c r="U899">
        <v>4.4400000000000004</v>
      </c>
      <c r="V899">
        <v>12.08</v>
      </c>
      <c r="W899">
        <v>39211</v>
      </c>
      <c r="X899">
        <v>43339</v>
      </c>
      <c r="Y899">
        <v>0.9</v>
      </c>
      <c r="Z899">
        <v>3</v>
      </c>
      <c r="AA899">
        <v>483</v>
      </c>
      <c r="AB899" t="s">
        <v>31</v>
      </c>
    </row>
    <row r="900" spans="1:28">
      <c r="A900" t="str">
        <f>"601808"</f>
        <v>601808</v>
      </c>
      <c r="B900" t="s">
        <v>1067</v>
      </c>
      <c r="C900">
        <v>0.9</v>
      </c>
      <c r="D900">
        <v>22.54</v>
      </c>
      <c r="E900">
        <v>0.2</v>
      </c>
      <c r="F900">
        <v>22.58</v>
      </c>
      <c r="G900">
        <v>22.59</v>
      </c>
      <c r="H900">
        <v>110515</v>
      </c>
      <c r="I900">
        <v>38</v>
      </c>
      <c r="J900">
        <v>0.13</v>
      </c>
      <c r="K900">
        <v>0.38</v>
      </c>
      <c r="L900">
        <v>22.43</v>
      </c>
      <c r="M900">
        <v>22.77</v>
      </c>
      <c r="N900">
        <v>21.9</v>
      </c>
      <c r="O900">
        <v>22.34</v>
      </c>
      <c r="P900">
        <v>14.17</v>
      </c>
      <c r="Q900">
        <v>246954080</v>
      </c>
      <c r="R900">
        <v>0.77</v>
      </c>
      <c r="S900" t="s">
        <v>635</v>
      </c>
      <c r="T900" t="s">
        <v>151</v>
      </c>
      <c r="U900">
        <v>3.89</v>
      </c>
      <c r="V900">
        <v>22.35</v>
      </c>
      <c r="W900">
        <v>56752</v>
      </c>
      <c r="X900">
        <v>53763</v>
      </c>
      <c r="Y900">
        <v>1.06</v>
      </c>
      <c r="Z900">
        <v>225</v>
      </c>
      <c r="AA900">
        <v>10</v>
      </c>
      <c r="AB900" t="s">
        <v>31</v>
      </c>
    </row>
    <row r="901" spans="1:28">
      <c r="A901" t="str">
        <f>"601818"</f>
        <v>601818</v>
      </c>
      <c r="B901" t="s">
        <v>1068</v>
      </c>
      <c r="C901">
        <v>0.35</v>
      </c>
      <c r="D901">
        <v>2.88</v>
      </c>
      <c r="E901">
        <v>0.01</v>
      </c>
      <c r="F901">
        <v>2.88</v>
      </c>
      <c r="G901">
        <v>2.89</v>
      </c>
      <c r="H901">
        <v>961246</v>
      </c>
      <c r="I901">
        <v>1690</v>
      </c>
      <c r="J901">
        <v>-0.34</v>
      </c>
      <c r="K901">
        <v>0.24</v>
      </c>
      <c r="L901">
        <v>2.86</v>
      </c>
      <c r="M901">
        <v>2.89</v>
      </c>
      <c r="N901">
        <v>2.84</v>
      </c>
      <c r="O901">
        <v>2.87</v>
      </c>
      <c r="P901">
        <v>4.03</v>
      </c>
      <c r="Q901">
        <v>275594400</v>
      </c>
      <c r="R901">
        <v>1.05</v>
      </c>
      <c r="S901" t="s">
        <v>29</v>
      </c>
      <c r="T901" t="s">
        <v>42</v>
      </c>
      <c r="U901">
        <v>1.74</v>
      </c>
      <c r="V901">
        <v>2.87</v>
      </c>
      <c r="W901">
        <v>456041</v>
      </c>
      <c r="X901">
        <v>505205</v>
      </c>
      <c r="Y901">
        <v>0.9</v>
      </c>
      <c r="Z901">
        <v>13042</v>
      </c>
      <c r="AA901">
        <v>17669</v>
      </c>
      <c r="AB901" t="s">
        <v>31</v>
      </c>
    </row>
    <row r="902" spans="1:28">
      <c r="A902" t="str">
        <f>"601857"</f>
        <v>601857</v>
      </c>
      <c r="B902" t="s">
        <v>1069</v>
      </c>
      <c r="C902">
        <v>2.23</v>
      </c>
      <c r="D902">
        <v>7.78</v>
      </c>
      <c r="E902">
        <v>0.17</v>
      </c>
      <c r="F902">
        <v>7.77</v>
      </c>
      <c r="G902">
        <v>7.78</v>
      </c>
      <c r="H902">
        <v>292385</v>
      </c>
      <c r="I902">
        <v>16</v>
      </c>
      <c r="J902">
        <v>-0.12</v>
      </c>
      <c r="K902">
        <v>0.02</v>
      </c>
      <c r="L902">
        <v>7.63</v>
      </c>
      <c r="M902">
        <v>7.8</v>
      </c>
      <c r="N902">
        <v>7.59</v>
      </c>
      <c r="O902">
        <v>7.61</v>
      </c>
      <c r="P902">
        <v>10.87</v>
      </c>
      <c r="Q902">
        <v>226160144</v>
      </c>
      <c r="R902">
        <v>1.97</v>
      </c>
      <c r="S902" t="s">
        <v>635</v>
      </c>
      <c r="T902" t="s">
        <v>42</v>
      </c>
      <c r="U902">
        <v>2.76</v>
      </c>
      <c r="V902">
        <v>7.73</v>
      </c>
      <c r="W902">
        <v>135365</v>
      </c>
      <c r="X902">
        <v>157020</v>
      </c>
      <c r="Y902">
        <v>0.86</v>
      </c>
      <c r="Z902">
        <v>2170</v>
      </c>
      <c r="AA902">
        <v>40</v>
      </c>
      <c r="AB902" t="s">
        <v>31</v>
      </c>
    </row>
    <row r="903" spans="1:28">
      <c r="A903" t="str">
        <f>"601866"</f>
        <v>601866</v>
      </c>
      <c r="B903" t="s">
        <v>1070</v>
      </c>
      <c r="C903">
        <v>1.59</v>
      </c>
      <c r="D903">
        <v>2.5499999999999998</v>
      </c>
      <c r="E903">
        <v>0.04</v>
      </c>
      <c r="F903">
        <v>2.54</v>
      </c>
      <c r="G903">
        <v>2.5499999999999998</v>
      </c>
      <c r="H903">
        <v>449763</v>
      </c>
      <c r="I903">
        <v>61</v>
      </c>
      <c r="J903">
        <v>0</v>
      </c>
      <c r="K903">
        <v>0.57999999999999996</v>
      </c>
      <c r="L903">
        <v>2.4900000000000002</v>
      </c>
      <c r="M903">
        <v>2.56</v>
      </c>
      <c r="N903">
        <v>2.4500000000000002</v>
      </c>
      <c r="O903">
        <v>2.5099999999999998</v>
      </c>
      <c r="P903" t="s">
        <v>31</v>
      </c>
      <c r="Q903">
        <v>112654840</v>
      </c>
      <c r="R903">
        <v>1.18</v>
      </c>
      <c r="S903" t="s">
        <v>65</v>
      </c>
      <c r="T903" t="s">
        <v>30</v>
      </c>
      <c r="U903">
        <v>4.38</v>
      </c>
      <c r="V903">
        <v>2.5</v>
      </c>
      <c r="W903">
        <v>214675</v>
      </c>
      <c r="X903">
        <v>235088</v>
      </c>
      <c r="Y903">
        <v>0.91</v>
      </c>
      <c r="Z903">
        <v>4785</v>
      </c>
      <c r="AA903">
        <v>156</v>
      </c>
      <c r="AB903" t="s">
        <v>31</v>
      </c>
    </row>
    <row r="904" spans="1:28">
      <c r="A904" t="str">
        <f>"601872"</f>
        <v>601872</v>
      </c>
      <c r="B904" t="s">
        <v>1071</v>
      </c>
      <c r="C904">
        <v>2.0699999999999998</v>
      </c>
      <c r="D904">
        <v>2.46</v>
      </c>
      <c r="E904">
        <v>0.05</v>
      </c>
      <c r="F904">
        <v>2.4500000000000002</v>
      </c>
      <c r="G904">
        <v>2.46</v>
      </c>
      <c r="H904">
        <v>122961</v>
      </c>
      <c r="I904">
        <v>1</v>
      </c>
      <c r="J904">
        <v>0.4</v>
      </c>
      <c r="K904">
        <v>0.33</v>
      </c>
      <c r="L904">
        <v>2.39</v>
      </c>
      <c r="M904">
        <v>2.46</v>
      </c>
      <c r="N904">
        <v>2.37</v>
      </c>
      <c r="O904">
        <v>2.41</v>
      </c>
      <c r="P904" t="s">
        <v>31</v>
      </c>
      <c r="Q904">
        <v>29851104</v>
      </c>
      <c r="R904">
        <v>0.88</v>
      </c>
      <c r="S904" t="s">
        <v>65</v>
      </c>
      <c r="T904" t="s">
        <v>30</v>
      </c>
      <c r="U904">
        <v>3.73</v>
      </c>
      <c r="V904">
        <v>2.4300000000000002</v>
      </c>
      <c r="W904">
        <v>51359</v>
      </c>
      <c r="X904">
        <v>71602</v>
      </c>
      <c r="Y904">
        <v>0.72</v>
      </c>
      <c r="Z904">
        <v>1801</v>
      </c>
      <c r="AA904">
        <v>5521</v>
      </c>
      <c r="AB904" t="s">
        <v>31</v>
      </c>
    </row>
    <row r="905" spans="1:28">
      <c r="A905" t="str">
        <f>"601877"</f>
        <v>601877</v>
      </c>
      <c r="B905" t="s">
        <v>1072</v>
      </c>
      <c r="C905">
        <v>4.7699999999999996</v>
      </c>
      <c r="D905">
        <v>29</v>
      </c>
      <c r="E905">
        <v>1.32</v>
      </c>
      <c r="F905">
        <v>28.99</v>
      </c>
      <c r="G905">
        <v>29</v>
      </c>
      <c r="H905">
        <v>28733</v>
      </c>
      <c r="I905">
        <v>1</v>
      </c>
      <c r="J905">
        <v>0.13</v>
      </c>
      <c r="K905">
        <v>0.28999999999999998</v>
      </c>
      <c r="L905">
        <v>27.98</v>
      </c>
      <c r="M905">
        <v>29</v>
      </c>
      <c r="N905">
        <v>27.68</v>
      </c>
      <c r="O905">
        <v>27.68</v>
      </c>
      <c r="P905">
        <v>22.01</v>
      </c>
      <c r="Q905">
        <v>82503608</v>
      </c>
      <c r="R905">
        <v>0.86</v>
      </c>
      <c r="S905" t="s">
        <v>161</v>
      </c>
      <c r="T905" t="s">
        <v>95</v>
      </c>
      <c r="U905">
        <v>4.7699999999999996</v>
      </c>
      <c r="V905">
        <v>28.71</v>
      </c>
      <c r="W905">
        <v>15331</v>
      </c>
      <c r="X905">
        <v>13402</v>
      </c>
      <c r="Y905">
        <v>1.1399999999999999</v>
      </c>
      <c r="Z905">
        <v>40</v>
      </c>
      <c r="AA905">
        <v>721</v>
      </c>
      <c r="AB905" t="s">
        <v>31</v>
      </c>
    </row>
    <row r="906" spans="1:28">
      <c r="A906" t="str">
        <f>"601880"</f>
        <v>601880</v>
      </c>
      <c r="B906" t="s">
        <v>1073</v>
      </c>
      <c r="C906">
        <v>2.71</v>
      </c>
      <c r="D906">
        <v>2.65</v>
      </c>
      <c r="E906">
        <v>7.0000000000000007E-2</v>
      </c>
      <c r="F906">
        <v>2.65</v>
      </c>
      <c r="G906">
        <v>2.66</v>
      </c>
      <c r="H906">
        <v>113799</v>
      </c>
      <c r="I906">
        <v>35</v>
      </c>
      <c r="J906">
        <v>0</v>
      </c>
      <c r="K906">
        <v>1.41</v>
      </c>
      <c r="L906">
        <v>2.6</v>
      </c>
      <c r="M906">
        <v>2.67</v>
      </c>
      <c r="N906">
        <v>2.56</v>
      </c>
      <c r="O906">
        <v>2.58</v>
      </c>
      <c r="P906">
        <v>15.14</v>
      </c>
      <c r="Q906">
        <v>29903788</v>
      </c>
      <c r="R906">
        <v>0.87</v>
      </c>
      <c r="S906" t="s">
        <v>56</v>
      </c>
      <c r="T906" t="s">
        <v>142</v>
      </c>
      <c r="U906">
        <v>4.26</v>
      </c>
      <c r="V906">
        <v>2.63</v>
      </c>
      <c r="W906">
        <v>42063</v>
      </c>
      <c r="X906">
        <v>71736</v>
      </c>
      <c r="Y906">
        <v>0.59</v>
      </c>
      <c r="Z906">
        <v>2483</v>
      </c>
      <c r="AA906">
        <v>2097</v>
      </c>
      <c r="AB906" t="s">
        <v>31</v>
      </c>
    </row>
    <row r="907" spans="1:28">
      <c r="A907" t="str">
        <f>"601886"</f>
        <v>601886</v>
      </c>
      <c r="B907" t="s">
        <v>1074</v>
      </c>
      <c r="C907">
        <v>0.72</v>
      </c>
      <c r="D907">
        <v>8.35</v>
      </c>
      <c r="E907">
        <v>0.06</v>
      </c>
      <c r="F907">
        <v>8.34</v>
      </c>
      <c r="G907">
        <v>8.35</v>
      </c>
      <c r="H907">
        <v>69928</v>
      </c>
      <c r="I907">
        <v>128</v>
      </c>
      <c r="J907">
        <v>0</v>
      </c>
      <c r="K907">
        <v>1.34</v>
      </c>
      <c r="L907">
        <v>8.1999999999999993</v>
      </c>
      <c r="M907">
        <v>8.3800000000000008</v>
      </c>
      <c r="N907">
        <v>8.1</v>
      </c>
      <c r="O907">
        <v>8.2899999999999991</v>
      </c>
      <c r="P907">
        <v>24.78</v>
      </c>
      <c r="Q907">
        <v>57873364</v>
      </c>
      <c r="R907">
        <v>0.77</v>
      </c>
      <c r="S907" t="s">
        <v>727</v>
      </c>
      <c r="T907" t="s">
        <v>42</v>
      </c>
      <c r="U907">
        <v>3.38</v>
      </c>
      <c r="V907">
        <v>8.2799999999999994</v>
      </c>
      <c r="W907">
        <v>40681</v>
      </c>
      <c r="X907">
        <v>29247</v>
      </c>
      <c r="Y907">
        <v>1.39</v>
      </c>
      <c r="Z907">
        <v>207</v>
      </c>
      <c r="AA907">
        <v>187</v>
      </c>
      <c r="AB907" t="s">
        <v>31</v>
      </c>
    </row>
    <row r="908" spans="1:28">
      <c r="A908" t="str">
        <f>"601888"</f>
        <v>601888</v>
      </c>
      <c r="B908" t="s">
        <v>1075</v>
      </c>
      <c r="C908">
        <v>-0.48</v>
      </c>
      <c r="D908">
        <v>35.549999999999997</v>
      </c>
      <c r="E908">
        <v>-0.17</v>
      </c>
      <c r="F908">
        <v>35.6</v>
      </c>
      <c r="G908">
        <v>35.700000000000003</v>
      </c>
      <c r="H908">
        <v>46070</v>
      </c>
      <c r="I908">
        <v>2</v>
      </c>
      <c r="J908">
        <v>-0.08</v>
      </c>
      <c r="K908">
        <v>0.52</v>
      </c>
      <c r="L908">
        <v>35.700000000000003</v>
      </c>
      <c r="M908">
        <v>36.299999999999997</v>
      </c>
      <c r="N908">
        <v>35.26</v>
      </c>
      <c r="O908">
        <v>35.72</v>
      </c>
      <c r="P908">
        <v>21.57</v>
      </c>
      <c r="Q908">
        <v>165243392</v>
      </c>
      <c r="R908">
        <v>0.84</v>
      </c>
      <c r="S908" t="s">
        <v>228</v>
      </c>
      <c r="T908" t="s">
        <v>42</v>
      </c>
      <c r="U908">
        <v>2.91</v>
      </c>
      <c r="V908">
        <v>35.869999999999997</v>
      </c>
      <c r="W908">
        <v>26149</v>
      </c>
      <c r="X908">
        <v>19921</v>
      </c>
      <c r="Y908">
        <v>1.31</v>
      </c>
      <c r="Z908">
        <v>1</v>
      </c>
      <c r="AA908">
        <v>31</v>
      </c>
      <c r="AB908" t="s">
        <v>31</v>
      </c>
    </row>
    <row r="909" spans="1:28">
      <c r="A909" t="str">
        <f>"601890"</f>
        <v>601890</v>
      </c>
      <c r="B909" t="s">
        <v>1076</v>
      </c>
      <c r="C909">
        <v>3.76</v>
      </c>
      <c r="D909">
        <v>6.62</v>
      </c>
      <c r="E909">
        <v>0.24</v>
      </c>
      <c r="F909">
        <v>6.61</v>
      </c>
      <c r="G909">
        <v>6.63</v>
      </c>
      <c r="H909">
        <v>25381</v>
      </c>
      <c r="I909">
        <v>30</v>
      </c>
      <c r="J909">
        <v>-0.15</v>
      </c>
      <c r="K909">
        <v>0.91</v>
      </c>
      <c r="L909">
        <v>6.44</v>
      </c>
      <c r="M909">
        <v>6.69</v>
      </c>
      <c r="N909">
        <v>6.34</v>
      </c>
      <c r="O909">
        <v>6.38</v>
      </c>
      <c r="P909">
        <v>54.55</v>
      </c>
      <c r="Q909">
        <v>16582657</v>
      </c>
      <c r="R909">
        <v>0.99</v>
      </c>
      <c r="S909" t="s">
        <v>131</v>
      </c>
      <c r="T909" t="s">
        <v>120</v>
      </c>
      <c r="U909">
        <v>5.49</v>
      </c>
      <c r="V909">
        <v>6.53</v>
      </c>
      <c r="W909">
        <v>8525</v>
      </c>
      <c r="X909">
        <v>16856</v>
      </c>
      <c r="Y909">
        <v>0.51</v>
      </c>
      <c r="Z909">
        <v>631</v>
      </c>
      <c r="AA909">
        <v>102</v>
      </c>
      <c r="AB909" t="s">
        <v>31</v>
      </c>
    </row>
    <row r="910" spans="1:28">
      <c r="A910" t="str">
        <f>"601898"</f>
        <v>601898</v>
      </c>
      <c r="B910" t="s">
        <v>1077</v>
      </c>
      <c r="C910">
        <v>1.99</v>
      </c>
      <c r="D910">
        <v>5.12</v>
      </c>
      <c r="E910">
        <v>0.1</v>
      </c>
      <c r="F910">
        <v>5.1100000000000003</v>
      </c>
      <c r="G910">
        <v>5.12</v>
      </c>
      <c r="H910">
        <v>70891</v>
      </c>
      <c r="I910">
        <v>8</v>
      </c>
      <c r="J910">
        <v>0.19</v>
      </c>
      <c r="K910">
        <v>0.08</v>
      </c>
      <c r="L910">
        <v>5.03</v>
      </c>
      <c r="M910">
        <v>5.13</v>
      </c>
      <c r="N910">
        <v>5.0199999999999996</v>
      </c>
      <c r="O910">
        <v>5.0199999999999996</v>
      </c>
      <c r="P910">
        <v>16</v>
      </c>
      <c r="Q910">
        <v>36087116</v>
      </c>
      <c r="R910">
        <v>0.77</v>
      </c>
      <c r="S910" t="s">
        <v>208</v>
      </c>
      <c r="T910" t="s">
        <v>42</v>
      </c>
      <c r="U910">
        <v>2.19</v>
      </c>
      <c r="V910">
        <v>5.09</v>
      </c>
      <c r="W910">
        <v>38175</v>
      </c>
      <c r="X910">
        <v>32716</v>
      </c>
      <c r="Y910">
        <v>1.17</v>
      </c>
      <c r="Z910">
        <v>55</v>
      </c>
      <c r="AA910">
        <v>103</v>
      </c>
      <c r="AB910" t="s">
        <v>31</v>
      </c>
    </row>
    <row r="911" spans="1:28">
      <c r="A911" t="str">
        <f>"601899"</f>
        <v>601899</v>
      </c>
      <c r="B911" t="s">
        <v>1078</v>
      </c>
      <c r="C911">
        <v>0.4</v>
      </c>
      <c r="D911">
        <v>2.48</v>
      </c>
      <c r="E911">
        <v>0.01</v>
      </c>
      <c r="F911">
        <v>2.48</v>
      </c>
      <c r="G911">
        <v>2.4900000000000002</v>
      </c>
      <c r="H911">
        <v>302385</v>
      </c>
      <c r="I911">
        <v>167</v>
      </c>
      <c r="J911">
        <v>-0.4</v>
      </c>
      <c r="K911">
        <v>0.19</v>
      </c>
      <c r="L911">
        <v>2.46</v>
      </c>
      <c r="M911">
        <v>2.4900000000000002</v>
      </c>
      <c r="N911">
        <v>2.4500000000000002</v>
      </c>
      <c r="O911">
        <v>2.4700000000000002</v>
      </c>
      <c r="P911">
        <v>22.67</v>
      </c>
      <c r="Q911">
        <v>74810000</v>
      </c>
      <c r="R911">
        <v>0.66</v>
      </c>
      <c r="S911" t="s">
        <v>405</v>
      </c>
      <c r="T911" t="s">
        <v>78</v>
      </c>
      <c r="U911">
        <v>1.62</v>
      </c>
      <c r="V911">
        <v>2.4700000000000002</v>
      </c>
      <c r="W911">
        <v>158986</v>
      </c>
      <c r="X911">
        <v>143399</v>
      </c>
      <c r="Y911">
        <v>1.1100000000000001</v>
      </c>
      <c r="Z911">
        <v>6634</v>
      </c>
      <c r="AA911">
        <v>25187</v>
      </c>
      <c r="AB911" t="s">
        <v>31</v>
      </c>
    </row>
    <row r="912" spans="1:28">
      <c r="A912" t="str">
        <f>"601901"</f>
        <v>601901</v>
      </c>
      <c r="B912" t="s">
        <v>1079</v>
      </c>
      <c r="C912">
        <v>0</v>
      </c>
      <c r="D912">
        <v>5.91</v>
      </c>
      <c r="E912">
        <v>0</v>
      </c>
      <c r="F912" t="s">
        <v>31</v>
      </c>
      <c r="G912" t="s">
        <v>31</v>
      </c>
      <c r="H912">
        <v>0</v>
      </c>
      <c r="I912">
        <v>0</v>
      </c>
      <c r="J912">
        <v>0</v>
      </c>
      <c r="K912">
        <v>0</v>
      </c>
      <c r="L912" t="s">
        <v>31</v>
      </c>
      <c r="M912" t="s">
        <v>31</v>
      </c>
      <c r="N912" t="s">
        <v>31</v>
      </c>
      <c r="O912">
        <v>5.91</v>
      </c>
      <c r="P912">
        <v>44.52</v>
      </c>
      <c r="Q912">
        <v>0</v>
      </c>
      <c r="R912">
        <v>0</v>
      </c>
      <c r="S912" t="s">
        <v>72</v>
      </c>
      <c r="T912" t="s">
        <v>76</v>
      </c>
      <c r="U912">
        <v>0</v>
      </c>
      <c r="V912">
        <v>5.91</v>
      </c>
      <c r="W912">
        <v>0</v>
      </c>
      <c r="X912">
        <v>0</v>
      </c>
      <c r="Y912" t="s">
        <v>31</v>
      </c>
      <c r="Z912">
        <v>0</v>
      </c>
      <c r="AA912">
        <v>0</v>
      </c>
      <c r="AB912" t="s">
        <v>31</v>
      </c>
    </row>
    <row r="913" spans="1:28">
      <c r="A913" t="str">
        <f>"601908"</f>
        <v>601908</v>
      </c>
      <c r="B913" t="s">
        <v>1080</v>
      </c>
      <c r="C913">
        <v>-0.37</v>
      </c>
      <c r="D913">
        <v>8.1</v>
      </c>
      <c r="E913">
        <v>-0.03</v>
      </c>
      <c r="F913">
        <v>8.1</v>
      </c>
      <c r="G913">
        <v>8.11</v>
      </c>
      <c r="H913">
        <v>131883</v>
      </c>
      <c r="I913">
        <v>10</v>
      </c>
      <c r="J913">
        <v>0</v>
      </c>
      <c r="K913">
        <v>6.36</v>
      </c>
      <c r="L913">
        <v>8.01</v>
      </c>
      <c r="M913">
        <v>8.1999999999999993</v>
      </c>
      <c r="N913">
        <v>7.86</v>
      </c>
      <c r="O913">
        <v>8.1300000000000008</v>
      </c>
      <c r="P913">
        <v>57.03</v>
      </c>
      <c r="Q913">
        <v>105991752</v>
      </c>
      <c r="R913">
        <v>0.45</v>
      </c>
      <c r="S913" t="s">
        <v>241</v>
      </c>
      <c r="T913" t="s">
        <v>42</v>
      </c>
      <c r="U913">
        <v>4.18</v>
      </c>
      <c r="V913">
        <v>8.0399999999999991</v>
      </c>
      <c r="W913">
        <v>70202</v>
      </c>
      <c r="X913">
        <v>61681</v>
      </c>
      <c r="Y913">
        <v>1.1399999999999999</v>
      </c>
      <c r="Z913">
        <v>294</v>
      </c>
      <c r="AA913">
        <v>189</v>
      </c>
      <c r="AB913" t="s">
        <v>31</v>
      </c>
    </row>
    <row r="914" spans="1:28">
      <c r="A914" t="str">
        <f>"601918"</f>
        <v>601918</v>
      </c>
      <c r="B914" t="s">
        <v>1081</v>
      </c>
      <c r="C914">
        <v>1.95</v>
      </c>
      <c r="D914">
        <v>4.7</v>
      </c>
      <c r="E914">
        <v>0.09</v>
      </c>
      <c r="F914">
        <v>4.7</v>
      </c>
      <c r="G914">
        <v>4.71</v>
      </c>
      <c r="H914">
        <v>108228</v>
      </c>
      <c r="I914">
        <v>17</v>
      </c>
      <c r="J914">
        <v>-0.21</v>
      </c>
      <c r="K914">
        <v>0.42</v>
      </c>
      <c r="L914">
        <v>4.63</v>
      </c>
      <c r="M914">
        <v>4.71</v>
      </c>
      <c r="N914">
        <v>4.5599999999999996</v>
      </c>
      <c r="O914">
        <v>4.6100000000000003</v>
      </c>
      <c r="P914">
        <v>46.51</v>
      </c>
      <c r="Q914">
        <v>50441680</v>
      </c>
      <c r="R914">
        <v>0.73</v>
      </c>
      <c r="S914" t="s">
        <v>208</v>
      </c>
      <c r="T914" t="s">
        <v>52</v>
      </c>
      <c r="U914">
        <v>3.25</v>
      </c>
      <c r="V914">
        <v>4.66</v>
      </c>
      <c r="W914">
        <v>51551</v>
      </c>
      <c r="X914">
        <v>56677</v>
      </c>
      <c r="Y914">
        <v>0.91</v>
      </c>
      <c r="Z914">
        <v>4</v>
      </c>
      <c r="AA914">
        <v>942</v>
      </c>
      <c r="AB914" t="s">
        <v>31</v>
      </c>
    </row>
    <row r="915" spans="1:28">
      <c r="A915" t="str">
        <f>"601919"</f>
        <v>601919</v>
      </c>
      <c r="B915" t="s">
        <v>1082</v>
      </c>
      <c r="C915">
        <v>2.54</v>
      </c>
      <c r="D915">
        <v>3.23</v>
      </c>
      <c r="E915">
        <v>0.08</v>
      </c>
      <c r="F915">
        <v>3.23</v>
      </c>
      <c r="G915">
        <v>3.24</v>
      </c>
      <c r="H915">
        <v>83707</v>
      </c>
      <c r="I915">
        <v>31</v>
      </c>
      <c r="J915">
        <v>-0.3</v>
      </c>
      <c r="K915">
        <v>0.11</v>
      </c>
      <c r="L915">
        <v>3.14</v>
      </c>
      <c r="M915">
        <v>3.24</v>
      </c>
      <c r="N915">
        <v>3.11</v>
      </c>
      <c r="O915">
        <v>3.15</v>
      </c>
      <c r="P915" t="s">
        <v>31</v>
      </c>
      <c r="Q915">
        <v>26617610</v>
      </c>
      <c r="R915">
        <v>0.86</v>
      </c>
      <c r="S915" t="s">
        <v>65</v>
      </c>
      <c r="T915" t="s">
        <v>151</v>
      </c>
      <c r="U915">
        <v>4.13</v>
      </c>
      <c r="V915">
        <v>3.18</v>
      </c>
      <c r="W915">
        <v>35714</v>
      </c>
      <c r="X915">
        <v>47993</v>
      </c>
      <c r="Y915">
        <v>0.74</v>
      </c>
      <c r="Z915">
        <v>213</v>
      </c>
      <c r="AA915">
        <v>1485</v>
      </c>
      <c r="AB915" t="s">
        <v>31</v>
      </c>
    </row>
    <row r="916" spans="1:28">
      <c r="A916" t="str">
        <f>"601928"</f>
        <v>601928</v>
      </c>
      <c r="B916" t="s">
        <v>1083</v>
      </c>
      <c r="C916">
        <v>1.71</v>
      </c>
      <c r="D916">
        <v>10.130000000000001</v>
      </c>
      <c r="E916">
        <v>0.17</v>
      </c>
      <c r="F916">
        <v>10.14</v>
      </c>
      <c r="G916">
        <v>10.15</v>
      </c>
      <c r="H916">
        <v>313046</v>
      </c>
      <c r="I916">
        <v>1228</v>
      </c>
      <c r="J916">
        <v>0.28999999999999998</v>
      </c>
      <c r="K916">
        <v>4.75</v>
      </c>
      <c r="L916">
        <v>9.9</v>
      </c>
      <c r="M916">
        <v>10.32</v>
      </c>
      <c r="N916">
        <v>9.81</v>
      </c>
      <c r="O916">
        <v>9.9600000000000009</v>
      </c>
      <c r="P916">
        <v>30.64</v>
      </c>
      <c r="Q916">
        <v>317017568</v>
      </c>
      <c r="R916">
        <v>1.05</v>
      </c>
      <c r="S916" t="s">
        <v>466</v>
      </c>
      <c r="T916" t="s">
        <v>120</v>
      </c>
      <c r="U916">
        <v>5.12</v>
      </c>
      <c r="V916">
        <v>10.130000000000001</v>
      </c>
      <c r="W916">
        <v>144243</v>
      </c>
      <c r="X916">
        <v>168803</v>
      </c>
      <c r="Y916">
        <v>0.85</v>
      </c>
      <c r="Z916">
        <v>715</v>
      </c>
      <c r="AA916">
        <v>962</v>
      </c>
      <c r="AB916" t="s">
        <v>31</v>
      </c>
    </row>
    <row r="917" spans="1:28">
      <c r="A917" t="str">
        <f>"601929"</f>
        <v>601929</v>
      </c>
      <c r="B917" t="s">
        <v>1084</v>
      </c>
      <c r="C917">
        <v>1.9</v>
      </c>
      <c r="D917">
        <v>8.57</v>
      </c>
      <c r="E917">
        <v>0.16</v>
      </c>
      <c r="F917">
        <v>8.57</v>
      </c>
      <c r="G917">
        <v>8.58</v>
      </c>
      <c r="H917">
        <v>244585</v>
      </c>
      <c r="I917">
        <v>111</v>
      </c>
      <c r="J917">
        <v>-0.23</v>
      </c>
      <c r="K917">
        <v>2.82</v>
      </c>
      <c r="L917">
        <v>8.3000000000000007</v>
      </c>
      <c r="M917">
        <v>8.7200000000000006</v>
      </c>
      <c r="N917">
        <v>8.2899999999999991</v>
      </c>
      <c r="O917">
        <v>8.41</v>
      </c>
      <c r="P917">
        <v>61.59</v>
      </c>
      <c r="Q917">
        <v>209418640</v>
      </c>
      <c r="R917">
        <v>1.57</v>
      </c>
      <c r="S917" t="s">
        <v>82</v>
      </c>
      <c r="T917" t="s">
        <v>191</v>
      </c>
      <c r="U917">
        <v>5.1100000000000003</v>
      </c>
      <c r="V917">
        <v>8.56</v>
      </c>
      <c r="W917">
        <v>124293</v>
      </c>
      <c r="X917">
        <v>120292</v>
      </c>
      <c r="Y917">
        <v>1.03</v>
      </c>
      <c r="Z917">
        <v>509</v>
      </c>
      <c r="AA917">
        <v>1032</v>
      </c>
      <c r="AB917" t="s">
        <v>31</v>
      </c>
    </row>
    <row r="918" spans="1:28">
      <c r="A918" t="str">
        <f>"601933"</f>
        <v>601933</v>
      </c>
      <c r="B918" t="s">
        <v>1085</v>
      </c>
      <c r="C918">
        <v>5.59</v>
      </c>
      <c r="D918">
        <v>13.98</v>
      </c>
      <c r="E918">
        <v>0.74</v>
      </c>
      <c r="F918">
        <v>13.98</v>
      </c>
      <c r="G918">
        <v>14</v>
      </c>
      <c r="H918">
        <v>96294</v>
      </c>
      <c r="I918">
        <v>3</v>
      </c>
      <c r="J918">
        <v>0</v>
      </c>
      <c r="K918">
        <v>1.01</v>
      </c>
      <c r="L918">
        <v>13.17</v>
      </c>
      <c r="M918">
        <v>14.15</v>
      </c>
      <c r="N918">
        <v>13.11</v>
      </c>
      <c r="O918">
        <v>13.24</v>
      </c>
      <c r="P918">
        <v>31.02</v>
      </c>
      <c r="Q918">
        <v>132321560</v>
      </c>
      <c r="R918">
        <v>0.93</v>
      </c>
      <c r="S918" t="s">
        <v>453</v>
      </c>
      <c r="T918" t="s">
        <v>78</v>
      </c>
      <c r="U918">
        <v>7.85</v>
      </c>
      <c r="V918">
        <v>13.74</v>
      </c>
      <c r="W918">
        <v>40900</v>
      </c>
      <c r="X918">
        <v>55394</v>
      </c>
      <c r="Y918">
        <v>0.74</v>
      </c>
      <c r="Z918">
        <v>85</v>
      </c>
      <c r="AA918">
        <v>201</v>
      </c>
      <c r="AB918" t="s">
        <v>31</v>
      </c>
    </row>
    <row r="919" spans="1:28">
      <c r="A919" t="str">
        <f>"601939"</f>
        <v>601939</v>
      </c>
      <c r="B919" t="s">
        <v>1086</v>
      </c>
      <c r="C919">
        <v>0.23</v>
      </c>
      <c r="D919">
        <v>4.28</v>
      </c>
      <c r="E919">
        <v>0.01</v>
      </c>
      <c r="F919">
        <v>4.28</v>
      </c>
      <c r="G919">
        <v>4.29</v>
      </c>
      <c r="H919">
        <v>208068</v>
      </c>
      <c r="I919">
        <v>9</v>
      </c>
      <c r="J919">
        <v>0</v>
      </c>
      <c r="K919">
        <v>0.22</v>
      </c>
      <c r="L919">
        <v>4.2699999999999996</v>
      </c>
      <c r="M919">
        <v>4.29</v>
      </c>
      <c r="N919">
        <v>4.24</v>
      </c>
      <c r="O919">
        <v>4.2699999999999996</v>
      </c>
      <c r="P919">
        <v>4.55</v>
      </c>
      <c r="Q919">
        <v>88879848</v>
      </c>
      <c r="R919">
        <v>0.88</v>
      </c>
      <c r="S919" t="s">
        <v>29</v>
      </c>
      <c r="T919" t="s">
        <v>42</v>
      </c>
      <c r="U919">
        <v>1.17</v>
      </c>
      <c r="V919">
        <v>4.2699999999999996</v>
      </c>
      <c r="W919">
        <v>111297</v>
      </c>
      <c r="X919">
        <v>96771</v>
      </c>
      <c r="Y919">
        <v>1.1499999999999999</v>
      </c>
      <c r="Z919">
        <v>7291</v>
      </c>
      <c r="AA919">
        <v>6289</v>
      </c>
      <c r="AB919" t="s">
        <v>31</v>
      </c>
    </row>
    <row r="920" spans="1:28">
      <c r="A920" t="str">
        <f>"601958"</f>
        <v>601958</v>
      </c>
      <c r="B920" t="s">
        <v>1087</v>
      </c>
      <c r="C920">
        <v>0.8</v>
      </c>
      <c r="D920">
        <v>7.57</v>
      </c>
      <c r="E920">
        <v>0.06</v>
      </c>
      <c r="F920">
        <v>7.55</v>
      </c>
      <c r="G920">
        <v>7.56</v>
      </c>
      <c r="H920">
        <v>42895</v>
      </c>
      <c r="I920">
        <v>23</v>
      </c>
      <c r="J920">
        <v>0</v>
      </c>
      <c r="K920">
        <v>0.13</v>
      </c>
      <c r="L920">
        <v>7.52</v>
      </c>
      <c r="M920">
        <v>7.59</v>
      </c>
      <c r="N920">
        <v>7.47</v>
      </c>
      <c r="O920">
        <v>7.51</v>
      </c>
      <c r="P920">
        <v>127.73</v>
      </c>
      <c r="Q920">
        <v>32304670</v>
      </c>
      <c r="R920">
        <v>0.66</v>
      </c>
      <c r="S920" t="s">
        <v>193</v>
      </c>
      <c r="T920" t="s">
        <v>147</v>
      </c>
      <c r="U920">
        <v>1.6</v>
      </c>
      <c r="V920">
        <v>7.53</v>
      </c>
      <c r="W920">
        <v>26028</v>
      </c>
      <c r="X920">
        <v>16867</v>
      </c>
      <c r="Y920">
        <v>1.54</v>
      </c>
      <c r="Z920">
        <v>119</v>
      </c>
      <c r="AA920">
        <v>14</v>
      </c>
      <c r="AB920" t="s">
        <v>31</v>
      </c>
    </row>
    <row r="921" spans="1:28">
      <c r="A921" t="str">
        <f>"601965"</f>
        <v>601965</v>
      </c>
      <c r="B921" t="s">
        <v>1088</v>
      </c>
      <c r="C921">
        <v>5.48</v>
      </c>
      <c r="D921">
        <v>10.59</v>
      </c>
      <c r="E921">
        <v>0.55000000000000004</v>
      </c>
      <c r="F921">
        <v>10.59</v>
      </c>
      <c r="G921">
        <v>10.6</v>
      </c>
      <c r="H921">
        <v>68317</v>
      </c>
      <c r="I921">
        <v>8</v>
      </c>
      <c r="J921">
        <v>0</v>
      </c>
      <c r="K921">
        <v>3.56</v>
      </c>
      <c r="L921">
        <v>10.08</v>
      </c>
      <c r="M921">
        <v>10.6</v>
      </c>
      <c r="N921">
        <v>9.83</v>
      </c>
      <c r="O921">
        <v>10.039999999999999</v>
      </c>
      <c r="P921">
        <v>22.64</v>
      </c>
      <c r="Q921">
        <v>70710408</v>
      </c>
      <c r="R921">
        <v>1.22</v>
      </c>
      <c r="S921" t="s">
        <v>702</v>
      </c>
      <c r="T921" t="s">
        <v>184</v>
      </c>
      <c r="U921">
        <v>7.67</v>
      </c>
      <c r="V921">
        <v>10.35</v>
      </c>
      <c r="W921">
        <v>30315</v>
      </c>
      <c r="X921">
        <v>38002</v>
      </c>
      <c r="Y921">
        <v>0.8</v>
      </c>
      <c r="Z921">
        <v>11</v>
      </c>
      <c r="AA921">
        <v>1194</v>
      </c>
      <c r="AB921" t="s">
        <v>31</v>
      </c>
    </row>
    <row r="922" spans="1:28">
      <c r="A922" t="str">
        <f>"601988"</f>
        <v>601988</v>
      </c>
      <c r="B922" t="s">
        <v>1089</v>
      </c>
      <c r="C922">
        <v>0.36</v>
      </c>
      <c r="D922">
        <v>2.82</v>
      </c>
      <c r="E922">
        <v>0.01</v>
      </c>
      <c r="F922">
        <v>2.82</v>
      </c>
      <c r="G922">
        <v>2.83</v>
      </c>
      <c r="H922">
        <v>226982</v>
      </c>
      <c r="I922">
        <v>10</v>
      </c>
      <c r="J922">
        <v>0</v>
      </c>
      <c r="K922">
        <v>0.01</v>
      </c>
      <c r="L922">
        <v>2.81</v>
      </c>
      <c r="M922">
        <v>2.83</v>
      </c>
      <c r="N922">
        <v>2.79</v>
      </c>
      <c r="O922">
        <v>2.81</v>
      </c>
      <c r="P922">
        <v>4.88</v>
      </c>
      <c r="Q922">
        <v>63717960</v>
      </c>
      <c r="R922">
        <v>0.87</v>
      </c>
      <c r="S922" t="s">
        <v>29</v>
      </c>
      <c r="T922" t="s">
        <v>42</v>
      </c>
      <c r="U922">
        <v>1.42</v>
      </c>
      <c r="V922">
        <v>2.81</v>
      </c>
      <c r="W922">
        <v>127727</v>
      </c>
      <c r="X922">
        <v>99255</v>
      </c>
      <c r="Y922">
        <v>1.29</v>
      </c>
      <c r="Z922">
        <v>5711</v>
      </c>
      <c r="AA922">
        <v>20909</v>
      </c>
      <c r="AB922" t="s">
        <v>31</v>
      </c>
    </row>
    <row r="923" spans="1:28">
      <c r="A923" t="str">
        <f>"601989"</f>
        <v>601989</v>
      </c>
      <c r="B923" t="s">
        <v>1090</v>
      </c>
      <c r="C923">
        <v>2.4900000000000002</v>
      </c>
      <c r="D923">
        <v>5.76</v>
      </c>
      <c r="E923">
        <v>0.14000000000000001</v>
      </c>
      <c r="F923">
        <v>5.74</v>
      </c>
      <c r="G923">
        <v>5.75</v>
      </c>
      <c r="H923">
        <v>1008293</v>
      </c>
      <c r="I923">
        <v>167</v>
      </c>
      <c r="J923">
        <v>0.69</v>
      </c>
      <c r="K923">
        <v>0.85</v>
      </c>
      <c r="L923">
        <v>5.56</v>
      </c>
      <c r="M923">
        <v>5.78</v>
      </c>
      <c r="N923">
        <v>5.51</v>
      </c>
      <c r="O923">
        <v>5.62</v>
      </c>
      <c r="P923">
        <v>24.95</v>
      </c>
      <c r="Q923">
        <v>569205504</v>
      </c>
      <c r="R923">
        <v>1</v>
      </c>
      <c r="S923" t="s">
        <v>131</v>
      </c>
      <c r="T923" t="s">
        <v>42</v>
      </c>
      <c r="U923">
        <v>4.8</v>
      </c>
      <c r="V923">
        <v>5.65</v>
      </c>
      <c r="W923">
        <v>490201</v>
      </c>
      <c r="X923">
        <v>518092</v>
      </c>
      <c r="Y923">
        <v>0.95</v>
      </c>
      <c r="Z923">
        <v>729</v>
      </c>
      <c r="AA923">
        <v>2075</v>
      </c>
      <c r="AB923" t="s">
        <v>31</v>
      </c>
    </row>
    <row r="924" spans="1:28">
      <c r="A924" t="str">
        <f>"601991"</f>
        <v>601991</v>
      </c>
      <c r="B924" t="s">
        <v>1091</v>
      </c>
      <c r="C924">
        <v>4.3499999999999996</v>
      </c>
      <c r="D924">
        <v>4.5599999999999996</v>
      </c>
      <c r="E924">
        <v>0.19</v>
      </c>
      <c r="F924">
        <v>4.5599999999999996</v>
      </c>
      <c r="G924">
        <v>4.57</v>
      </c>
      <c r="H924">
        <v>191314</v>
      </c>
      <c r="I924">
        <v>727</v>
      </c>
      <c r="J924">
        <v>0</v>
      </c>
      <c r="K924">
        <v>0.19</v>
      </c>
      <c r="L924">
        <v>4.3899999999999997</v>
      </c>
      <c r="M924">
        <v>4.74</v>
      </c>
      <c r="N924">
        <v>4.3899999999999997</v>
      </c>
      <c r="O924">
        <v>4.37</v>
      </c>
      <c r="P924">
        <v>16.07</v>
      </c>
      <c r="Q924">
        <v>87503696</v>
      </c>
      <c r="R924">
        <v>3.03</v>
      </c>
      <c r="S924" t="s">
        <v>49</v>
      </c>
      <c r="T924" t="s">
        <v>42</v>
      </c>
      <c r="U924">
        <v>8.01</v>
      </c>
      <c r="V924">
        <v>4.57</v>
      </c>
      <c r="W924">
        <v>79327</v>
      </c>
      <c r="X924">
        <v>111987</v>
      </c>
      <c r="Y924">
        <v>0.71</v>
      </c>
      <c r="Z924">
        <v>27</v>
      </c>
      <c r="AA924">
        <v>103</v>
      </c>
      <c r="AB924" t="s">
        <v>31</v>
      </c>
    </row>
    <row r="925" spans="1:28">
      <c r="A925" t="str">
        <f>"601992"</f>
        <v>601992</v>
      </c>
      <c r="B925" t="s">
        <v>1092</v>
      </c>
      <c r="C925">
        <v>1.43</v>
      </c>
      <c r="D925">
        <v>6.39</v>
      </c>
      <c r="E925">
        <v>0.09</v>
      </c>
      <c r="F925">
        <v>6.38</v>
      </c>
      <c r="G925">
        <v>6.39</v>
      </c>
      <c r="H925">
        <v>181306</v>
      </c>
      <c r="I925">
        <v>55</v>
      </c>
      <c r="J925">
        <v>0.15</v>
      </c>
      <c r="K925">
        <v>1.43</v>
      </c>
      <c r="L925">
        <v>6.3</v>
      </c>
      <c r="M925">
        <v>6.44</v>
      </c>
      <c r="N925">
        <v>6.12</v>
      </c>
      <c r="O925">
        <v>6.3</v>
      </c>
      <c r="P925">
        <v>10.53</v>
      </c>
      <c r="Q925">
        <v>114065168</v>
      </c>
      <c r="R925">
        <v>0.37</v>
      </c>
      <c r="S925" t="s">
        <v>312</v>
      </c>
      <c r="T925" t="s">
        <v>42</v>
      </c>
      <c r="U925">
        <v>5.08</v>
      </c>
      <c r="V925">
        <v>6.29</v>
      </c>
      <c r="W925">
        <v>89622</v>
      </c>
      <c r="X925">
        <v>91684</v>
      </c>
      <c r="Y925">
        <v>0.98</v>
      </c>
      <c r="Z925">
        <v>195</v>
      </c>
      <c r="AA925">
        <v>62</v>
      </c>
      <c r="AB925" t="s">
        <v>31</v>
      </c>
    </row>
    <row r="926" spans="1:28">
      <c r="A926" t="str">
        <f>"601996"</f>
        <v>601996</v>
      </c>
      <c r="B926" t="s">
        <v>1093</v>
      </c>
      <c r="C926">
        <v>3.79</v>
      </c>
      <c r="D926">
        <v>8.49</v>
      </c>
      <c r="E926">
        <v>0.31</v>
      </c>
      <c r="F926">
        <v>8.49</v>
      </c>
      <c r="G926">
        <v>8.5</v>
      </c>
      <c r="H926">
        <v>368844</v>
      </c>
      <c r="I926">
        <v>4</v>
      </c>
      <c r="J926">
        <v>0.11</v>
      </c>
      <c r="K926">
        <v>18.8</v>
      </c>
      <c r="L926">
        <v>8.02</v>
      </c>
      <c r="M926">
        <v>8.66</v>
      </c>
      <c r="N926">
        <v>8</v>
      </c>
      <c r="O926">
        <v>8.18</v>
      </c>
      <c r="P926">
        <v>43.7</v>
      </c>
      <c r="Q926">
        <v>310332416</v>
      </c>
      <c r="R926">
        <v>1.48</v>
      </c>
      <c r="S926" t="s">
        <v>282</v>
      </c>
      <c r="T926" t="s">
        <v>333</v>
      </c>
      <c r="U926">
        <v>8.07</v>
      </c>
      <c r="V926">
        <v>8.41</v>
      </c>
      <c r="W926">
        <v>146457</v>
      </c>
      <c r="X926">
        <v>222387</v>
      </c>
      <c r="Y926">
        <v>0.66</v>
      </c>
      <c r="Z926">
        <v>199</v>
      </c>
      <c r="AA926">
        <v>371</v>
      </c>
      <c r="AB926" t="s">
        <v>31</v>
      </c>
    </row>
    <row r="927" spans="1:28">
      <c r="A927" t="str">
        <f>"601998"</f>
        <v>601998</v>
      </c>
      <c r="B927" t="s">
        <v>1094</v>
      </c>
      <c r="C927">
        <v>3.09</v>
      </c>
      <c r="D927">
        <v>4</v>
      </c>
      <c r="E927">
        <v>0.12</v>
      </c>
      <c r="F927">
        <v>3.99</v>
      </c>
      <c r="G927">
        <v>4</v>
      </c>
      <c r="H927">
        <v>641402</v>
      </c>
      <c r="I927">
        <v>231</v>
      </c>
      <c r="J927">
        <v>0</v>
      </c>
      <c r="K927">
        <v>0.2</v>
      </c>
      <c r="L927">
        <v>3.89</v>
      </c>
      <c r="M927">
        <v>4.01</v>
      </c>
      <c r="N927">
        <v>3.86</v>
      </c>
      <c r="O927">
        <v>3.88</v>
      </c>
      <c r="P927">
        <v>4.59</v>
      </c>
      <c r="Q927">
        <v>253012208</v>
      </c>
      <c r="R927">
        <v>2.08</v>
      </c>
      <c r="S927" t="s">
        <v>29</v>
      </c>
      <c r="T927" t="s">
        <v>42</v>
      </c>
      <c r="U927">
        <v>3.87</v>
      </c>
      <c r="V927">
        <v>3.94</v>
      </c>
      <c r="W927">
        <v>268319</v>
      </c>
      <c r="X927">
        <v>373083</v>
      </c>
      <c r="Y927">
        <v>0.72</v>
      </c>
      <c r="Z927">
        <v>656</v>
      </c>
      <c r="AA927">
        <v>3899</v>
      </c>
      <c r="AB927" t="s">
        <v>31</v>
      </c>
    </row>
    <row r="928" spans="1:28">
      <c r="A928" t="str">
        <f>"601999"</f>
        <v>601999</v>
      </c>
      <c r="B928" t="s">
        <v>1095</v>
      </c>
      <c r="C928">
        <v>1.67</v>
      </c>
      <c r="D928">
        <v>6.71</v>
      </c>
      <c r="E928">
        <v>0.11</v>
      </c>
      <c r="F928">
        <v>6.71</v>
      </c>
      <c r="G928">
        <v>6.72</v>
      </c>
      <c r="H928">
        <v>39901</v>
      </c>
      <c r="I928">
        <v>8</v>
      </c>
      <c r="J928">
        <v>0</v>
      </c>
      <c r="K928">
        <v>0.72</v>
      </c>
      <c r="L928">
        <v>6.6</v>
      </c>
      <c r="M928">
        <v>6.74</v>
      </c>
      <c r="N928">
        <v>6.52</v>
      </c>
      <c r="O928">
        <v>6.6</v>
      </c>
      <c r="P928">
        <v>54.52</v>
      </c>
      <c r="Q928">
        <v>26590756</v>
      </c>
      <c r="R928">
        <v>0.97</v>
      </c>
      <c r="S928" t="s">
        <v>466</v>
      </c>
      <c r="T928" t="s">
        <v>142</v>
      </c>
      <c r="U928">
        <v>3.33</v>
      </c>
      <c r="V928">
        <v>6.66</v>
      </c>
      <c r="W928">
        <v>17274</v>
      </c>
      <c r="X928">
        <v>22627</v>
      </c>
      <c r="Y928">
        <v>0.76</v>
      </c>
      <c r="Z928">
        <v>86</v>
      </c>
      <c r="AA928">
        <v>42</v>
      </c>
      <c r="AB928" t="s">
        <v>31</v>
      </c>
    </row>
    <row r="929" spans="1:28">
      <c r="A929" t="str">
        <f>"603000"</f>
        <v>603000</v>
      </c>
      <c r="B929" t="s">
        <v>1096</v>
      </c>
      <c r="C929">
        <v>0.46</v>
      </c>
      <c r="D929">
        <v>68</v>
      </c>
      <c r="E929">
        <v>0.31</v>
      </c>
      <c r="F929">
        <v>67.989999999999995</v>
      </c>
      <c r="G929">
        <v>68</v>
      </c>
      <c r="H929">
        <v>49542</v>
      </c>
      <c r="I929">
        <v>14</v>
      </c>
      <c r="J929">
        <v>0</v>
      </c>
      <c r="K929">
        <v>6.68</v>
      </c>
      <c r="L929">
        <v>68</v>
      </c>
      <c r="M929">
        <v>69.5</v>
      </c>
      <c r="N929">
        <v>65.959999999999994</v>
      </c>
      <c r="O929">
        <v>67.69</v>
      </c>
      <c r="P929">
        <v>83.32</v>
      </c>
      <c r="Q929">
        <v>336453632</v>
      </c>
      <c r="R929">
        <v>0.94</v>
      </c>
      <c r="S929" t="s">
        <v>1097</v>
      </c>
      <c r="T929" t="s">
        <v>42</v>
      </c>
      <c r="U929">
        <v>5.23</v>
      </c>
      <c r="V929">
        <v>67.91</v>
      </c>
      <c r="W929">
        <v>24265</v>
      </c>
      <c r="X929">
        <v>25277</v>
      </c>
      <c r="Y929">
        <v>0.96</v>
      </c>
      <c r="Z929">
        <v>17</v>
      </c>
      <c r="AA929">
        <v>10</v>
      </c>
      <c r="AB929" t="s">
        <v>31</v>
      </c>
    </row>
    <row r="930" spans="1:28">
      <c r="A930" t="str">
        <f>"603001"</f>
        <v>603001</v>
      </c>
      <c r="B930" t="s">
        <v>1098</v>
      </c>
      <c r="C930">
        <v>2.0699999999999998</v>
      </c>
      <c r="D930">
        <v>14.76</v>
      </c>
      <c r="E930">
        <v>0.3</v>
      </c>
      <c r="F930">
        <v>14.72</v>
      </c>
      <c r="G930">
        <v>14.75</v>
      </c>
      <c r="H930">
        <v>21404</v>
      </c>
      <c r="I930">
        <v>2</v>
      </c>
      <c r="J930">
        <v>0.4</v>
      </c>
      <c r="K930">
        <v>1.83</v>
      </c>
      <c r="L930">
        <v>14.25</v>
      </c>
      <c r="M930">
        <v>14.78</v>
      </c>
      <c r="N930">
        <v>14.15</v>
      </c>
      <c r="O930">
        <v>14.46</v>
      </c>
      <c r="P930">
        <v>13.91</v>
      </c>
      <c r="Q930">
        <v>30817720</v>
      </c>
      <c r="R930">
        <v>1.0900000000000001</v>
      </c>
      <c r="S930" t="s">
        <v>158</v>
      </c>
      <c r="T930" t="s">
        <v>95</v>
      </c>
      <c r="U930">
        <v>4.3600000000000003</v>
      </c>
      <c r="V930">
        <v>14.4</v>
      </c>
      <c r="W930">
        <v>10428</v>
      </c>
      <c r="X930">
        <v>10976</v>
      </c>
      <c r="Y930">
        <v>0.95</v>
      </c>
      <c r="Z930">
        <v>2</v>
      </c>
      <c r="AA930">
        <v>29</v>
      </c>
      <c r="AB930" t="s">
        <v>31</v>
      </c>
    </row>
    <row r="931" spans="1:28">
      <c r="A931" t="str">
        <f>"603002"</f>
        <v>603002</v>
      </c>
      <c r="B931" t="s">
        <v>1099</v>
      </c>
      <c r="C931">
        <v>1.04</v>
      </c>
      <c r="D931">
        <v>6.79</v>
      </c>
      <c r="E931">
        <v>7.0000000000000007E-2</v>
      </c>
      <c r="F931">
        <v>6.79</v>
      </c>
      <c r="G931">
        <v>6.8</v>
      </c>
      <c r="H931">
        <v>57877</v>
      </c>
      <c r="I931">
        <v>4</v>
      </c>
      <c r="J931">
        <v>-0.28999999999999998</v>
      </c>
      <c r="K931">
        <v>3.05</v>
      </c>
      <c r="L931">
        <v>6.71</v>
      </c>
      <c r="M931">
        <v>6.81</v>
      </c>
      <c r="N931">
        <v>6.63</v>
      </c>
      <c r="O931">
        <v>6.72</v>
      </c>
      <c r="P931">
        <v>42.35</v>
      </c>
      <c r="Q931">
        <v>38916292</v>
      </c>
      <c r="R931">
        <v>0.61</v>
      </c>
      <c r="S931" t="s">
        <v>137</v>
      </c>
      <c r="T931" t="s">
        <v>34</v>
      </c>
      <c r="U931">
        <v>2.68</v>
      </c>
      <c r="V931">
        <v>6.72</v>
      </c>
      <c r="W931">
        <v>29660</v>
      </c>
      <c r="X931">
        <v>28217</v>
      </c>
      <c r="Y931">
        <v>1.05</v>
      </c>
      <c r="Z931">
        <v>19</v>
      </c>
      <c r="AA931">
        <v>165</v>
      </c>
      <c r="AB931" t="s">
        <v>31</v>
      </c>
    </row>
    <row r="932" spans="1:28">
      <c r="A932" t="str">
        <f>"603003"</f>
        <v>603003</v>
      </c>
      <c r="B932" t="s">
        <v>1100</v>
      </c>
      <c r="C932">
        <v>-1.19</v>
      </c>
      <c r="D932">
        <v>12.5</v>
      </c>
      <c r="E932">
        <v>-0.15</v>
      </c>
      <c r="F932">
        <v>12.49</v>
      </c>
      <c r="G932">
        <v>12.5</v>
      </c>
      <c r="H932">
        <v>112646</v>
      </c>
      <c r="I932">
        <v>3</v>
      </c>
      <c r="J932">
        <v>0.08</v>
      </c>
      <c r="K932">
        <v>17.57</v>
      </c>
      <c r="L932">
        <v>12.09</v>
      </c>
      <c r="M932">
        <v>12.66</v>
      </c>
      <c r="N932">
        <v>12.09</v>
      </c>
      <c r="O932">
        <v>12.65</v>
      </c>
      <c r="P932" t="s">
        <v>31</v>
      </c>
      <c r="Q932">
        <v>139696144</v>
      </c>
      <c r="R932">
        <v>1.41</v>
      </c>
      <c r="S932" t="s">
        <v>479</v>
      </c>
      <c r="T932" t="s">
        <v>30</v>
      </c>
      <c r="U932">
        <v>4.51</v>
      </c>
      <c r="V932">
        <v>12.4</v>
      </c>
      <c r="W932">
        <v>59325</v>
      </c>
      <c r="X932">
        <v>53321</v>
      </c>
      <c r="Y932">
        <v>1.1100000000000001</v>
      </c>
      <c r="Z932">
        <v>149</v>
      </c>
      <c r="AA932">
        <v>113</v>
      </c>
      <c r="AB932" t="s">
        <v>31</v>
      </c>
    </row>
    <row r="933" spans="1:28">
      <c r="A933" t="str">
        <f>"603008"</f>
        <v>603008</v>
      </c>
      <c r="B933" t="s">
        <v>1101</v>
      </c>
      <c r="C933">
        <v>1.56</v>
      </c>
      <c r="D933">
        <v>9.1199999999999992</v>
      </c>
      <c r="E933">
        <v>0.14000000000000001</v>
      </c>
      <c r="F933">
        <v>9.1199999999999992</v>
      </c>
      <c r="G933">
        <v>9.1300000000000008</v>
      </c>
      <c r="H933">
        <v>47074</v>
      </c>
      <c r="I933">
        <v>36</v>
      </c>
      <c r="J933">
        <v>-0.1</v>
      </c>
      <c r="K933">
        <v>2.65</v>
      </c>
      <c r="L933">
        <v>8.8800000000000008</v>
      </c>
      <c r="M933">
        <v>9.23</v>
      </c>
      <c r="N933">
        <v>8.83</v>
      </c>
      <c r="O933">
        <v>8.98</v>
      </c>
      <c r="P933">
        <v>27.42</v>
      </c>
      <c r="Q933">
        <v>42619144</v>
      </c>
      <c r="R933">
        <v>0.74</v>
      </c>
      <c r="S933" t="s">
        <v>432</v>
      </c>
      <c r="T933" t="s">
        <v>95</v>
      </c>
      <c r="U933">
        <v>4.45</v>
      </c>
      <c r="V933">
        <v>9.0500000000000007</v>
      </c>
      <c r="W933">
        <v>21901</v>
      </c>
      <c r="X933">
        <v>25173</v>
      </c>
      <c r="Y933">
        <v>0.87</v>
      </c>
      <c r="Z933">
        <v>92</v>
      </c>
      <c r="AA933">
        <v>226</v>
      </c>
      <c r="AB933" t="s">
        <v>31</v>
      </c>
    </row>
    <row r="934" spans="1:28">
      <c r="A934" t="str">
        <f>"603077"</f>
        <v>603077</v>
      </c>
      <c r="B934" t="s">
        <v>1102</v>
      </c>
      <c r="C934">
        <v>0</v>
      </c>
      <c r="D934">
        <v>15.16</v>
      </c>
      <c r="E934">
        <v>0</v>
      </c>
      <c r="F934" t="s">
        <v>31</v>
      </c>
      <c r="G934" t="s">
        <v>31</v>
      </c>
      <c r="H934">
        <v>0</v>
      </c>
      <c r="I934">
        <v>0</v>
      </c>
      <c r="J934">
        <v>0</v>
      </c>
      <c r="K934">
        <v>0</v>
      </c>
      <c r="L934" t="s">
        <v>31</v>
      </c>
      <c r="M934" t="s">
        <v>31</v>
      </c>
      <c r="N934" t="s">
        <v>31</v>
      </c>
      <c r="O934">
        <v>15.16</v>
      </c>
      <c r="P934">
        <v>82.5</v>
      </c>
      <c r="Q934">
        <v>0</v>
      </c>
      <c r="R934">
        <v>0</v>
      </c>
      <c r="S934" t="s">
        <v>137</v>
      </c>
      <c r="T934" t="s">
        <v>88</v>
      </c>
      <c r="U934">
        <v>0</v>
      </c>
      <c r="V934">
        <v>15.16</v>
      </c>
      <c r="W934">
        <v>0</v>
      </c>
      <c r="X934">
        <v>0</v>
      </c>
      <c r="Y934" t="s">
        <v>31</v>
      </c>
      <c r="Z934">
        <v>0</v>
      </c>
      <c r="AA934">
        <v>0</v>
      </c>
      <c r="AB934" t="s">
        <v>31</v>
      </c>
    </row>
    <row r="935" spans="1:28">
      <c r="A935" t="str">
        <f>"603123"</f>
        <v>603123</v>
      </c>
      <c r="B935" t="s">
        <v>1103</v>
      </c>
      <c r="C935">
        <v>0</v>
      </c>
      <c r="D935">
        <v>8.02</v>
      </c>
      <c r="E935">
        <v>0</v>
      </c>
      <c r="F935" t="s">
        <v>31</v>
      </c>
      <c r="G935" t="s">
        <v>31</v>
      </c>
      <c r="H935">
        <v>0</v>
      </c>
      <c r="I935">
        <v>0</v>
      </c>
      <c r="J935">
        <v>0</v>
      </c>
      <c r="K935">
        <v>0</v>
      </c>
      <c r="L935" t="s">
        <v>31</v>
      </c>
      <c r="M935" t="s">
        <v>31</v>
      </c>
      <c r="N935" t="s">
        <v>31</v>
      </c>
      <c r="O935">
        <v>8.02</v>
      </c>
      <c r="P935">
        <v>17.62</v>
      </c>
      <c r="Q935">
        <v>0</v>
      </c>
      <c r="R935">
        <v>0</v>
      </c>
      <c r="S935" t="s">
        <v>374</v>
      </c>
      <c r="T935" t="s">
        <v>42</v>
      </c>
      <c r="U935">
        <v>0</v>
      </c>
      <c r="V935">
        <v>8.02</v>
      </c>
      <c r="W935">
        <v>0</v>
      </c>
      <c r="X935">
        <v>0</v>
      </c>
      <c r="Y935" t="s">
        <v>31</v>
      </c>
      <c r="Z935">
        <v>0</v>
      </c>
      <c r="AA935">
        <v>0</v>
      </c>
      <c r="AB935" t="s">
        <v>31</v>
      </c>
    </row>
    <row r="936" spans="1:28">
      <c r="A936" t="str">
        <f>"603128"</f>
        <v>603128</v>
      </c>
      <c r="B936" t="s">
        <v>1104</v>
      </c>
      <c r="C936">
        <v>-0.85</v>
      </c>
      <c r="D936">
        <v>12.76</v>
      </c>
      <c r="E936">
        <v>-0.11</v>
      </c>
      <c r="F936">
        <v>12.75</v>
      </c>
      <c r="G936">
        <v>12.76</v>
      </c>
      <c r="H936">
        <v>135779</v>
      </c>
      <c r="I936">
        <v>38</v>
      </c>
      <c r="J936">
        <v>-0.23</v>
      </c>
      <c r="K936">
        <v>8.49</v>
      </c>
      <c r="L936">
        <v>12.7</v>
      </c>
      <c r="M936">
        <v>13.1</v>
      </c>
      <c r="N936">
        <v>12.35</v>
      </c>
      <c r="O936">
        <v>12.87</v>
      </c>
      <c r="P936">
        <v>64.83</v>
      </c>
      <c r="Q936">
        <v>172708592</v>
      </c>
      <c r="R936">
        <v>1.02</v>
      </c>
      <c r="S936" t="s">
        <v>107</v>
      </c>
      <c r="T936" t="s">
        <v>30</v>
      </c>
      <c r="U936">
        <v>5.83</v>
      </c>
      <c r="V936">
        <v>12.72</v>
      </c>
      <c r="W936">
        <v>61459</v>
      </c>
      <c r="X936">
        <v>74320</v>
      </c>
      <c r="Y936">
        <v>0.83</v>
      </c>
      <c r="Z936">
        <v>78</v>
      </c>
      <c r="AA936">
        <v>72</v>
      </c>
      <c r="AB936" t="s">
        <v>31</v>
      </c>
    </row>
    <row r="937" spans="1:28">
      <c r="A937" t="str">
        <f>"603167"</f>
        <v>603167</v>
      </c>
      <c r="B937" t="s">
        <v>1105</v>
      </c>
      <c r="C937">
        <v>3.13</v>
      </c>
      <c r="D937">
        <v>8.24</v>
      </c>
      <c r="E937">
        <v>0.25</v>
      </c>
      <c r="F937">
        <v>8.23</v>
      </c>
      <c r="G937">
        <v>8.24</v>
      </c>
      <c r="H937">
        <v>61189</v>
      </c>
      <c r="I937">
        <v>10</v>
      </c>
      <c r="J937">
        <v>0</v>
      </c>
      <c r="K937">
        <v>2.0499999999999998</v>
      </c>
      <c r="L937">
        <v>8</v>
      </c>
      <c r="M937">
        <v>8.24</v>
      </c>
      <c r="N937">
        <v>7.99</v>
      </c>
      <c r="O937">
        <v>7.99</v>
      </c>
      <c r="P937">
        <v>13.83</v>
      </c>
      <c r="Q937">
        <v>49929308</v>
      </c>
      <c r="R937">
        <v>2.09</v>
      </c>
      <c r="S937" t="s">
        <v>65</v>
      </c>
      <c r="T937" t="s">
        <v>57</v>
      </c>
      <c r="U937">
        <v>3.13</v>
      </c>
      <c r="V937">
        <v>8.16</v>
      </c>
      <c r="W937">
        <v>22465</v>
      </c>
      <c r="X937">
        <v>38724</v>
      </c>
      <c r="Y937">
        <v>0.57999999999999996</v>
      </c>
      <c r="Z937">
        <v>355</v>
      </c>
      <c r="AA937">
        <v>206</v>
      </c>
      <c r="AB937" t="s">
        <v>31</v>
      </c>
    </row>
    <row r="938" spans="1:28">
      <c r="A938" t="str">
        <f>"603333"</f>
        <v>603333</v>
      </c>
      <c r="B938" t="s">
        <v>1106</v>
      </c>
      <c r="C938">
        <v>1.88</v>
      </c>
      <c r="D938">
        <v>4.8899999999999997</v>
      </c>
      <c r="E938">
        <v>0.09</v>
      </c>
      <c r="F938">
        <v>4.91</v>
      </c>
      <c r="G938">
        <v>4.92</v>
      </c>
      <c r="H938">
        <v>93263</v>
      </c>
      <c r="I938">
        <v>162</v>
      </c>
      <c r="J938">
        <v>0.2</v>
      </c>
      <c r="K938">
        <v>4.79</v>
      </c>
      <c r="L938">
        <v>4.75</v>
      </c>
      <c r="M938">
        <v>4.96</v>
      </c>
      <c r="N938">
        <v>4.71</v>
      </c>
      <c r="O938">
        <v>4.8</v>
      </c>
      <c r="P938">
        <v>46.36</v>
      </c>
      <c r="Q938">
        <v>45191720</v>
      </c>
      <c r="R938">
        <v>1.07</v>
      </c>
      <c r="S938" t="s">
        <v>161</v>
      </c>
      <c r="T938" t="s">
        <v>88</v>
      </c>
      <c r="U938">
        <v>5.21</v>
      </c>
      <c r="V938">
        <v>4.8499999999999996</v>
      </c>
      <c r="W938">
        <v>43222</v>
      </c>
      <c r="X938">
        <v>50041</v>
      </c>
      <c r="Y938">
        <v>0.86</v>
      </c>
      <c r="Z938">
        <v>7503</v>
      </c>
      <c r="AA938">
        <v>958</v>
      </c>
      <c r="AB938" t="s">
        <v>31</v>
      </c>
    </row>
    <row r="939" spans="1:28">
      <c r="A939" t="str">
        <f>"603366"</f>
        <v>603366</v>
      </c>
      <c r="B939" t="s">
        <v>1107</v>
      </c>
      <c r="C939">
        <v>0.5</v>
      </c>
      <c r="D939">
        <v>13.99</v>
      </c>
      <c r="E939">
        <v>7.0000000000000007E-2</v>
      </c>
      <c r="F939">
        <v>13.99</v>
      </c>
      <c r="G939">
        <v>14</v>
      </c>
      <c r="H939">
        <v>23663</v>
      </c>
      <c r="I939">
        <v>10</v>
      </c>
      <c r="J939">
        <v>0.28000000000000003</v>
      </c>
      <c r="K939">
        <v>1.73</v>
      </c>
      <c r="L939">
        <v>13.93</v>
      </c>
      <c r="M939">
        <v>14.04</v>
      </c>
      <c r="N939">
        <v>13.7</v>
      </c>
      <c r="O939">
        <v>13.92</v>
      </c>
      <c r="P939">
        <v>15.6</v>
      </c>
      <c r="Q939">
        <v>32820526</v>
      </c>
      <c r="R939">
        <v>0.98</v>
      </c>
      <c r="S939" t="s">
        <v>113</v>
      </c>
      <c r="T939" t="s">
        <v>120</v>
      </c>
      <c r="U939">
        <v>2.44</v>
      </c>
      <c r="V939">
        <v>13.87</v>
      </c>
      <c r="W939">
        <v>10578</v>
      </c>
      <c r="X939">
        <v>13085</v>
      </c>
      <c r="Y939">
        <v>0.81</v>
      </c>
      <c r="Z939">
        <v>12</v>
      </c>
      <c r="AA939">
        <v>287</v>
      </c>
      <c r="AB939" t="s">
        <v>31</v>
      </c>
    </row>
    <row r="940" spans="1:28">
      <c r="A940" t="str">
        <f>"603399"</f>
        <v>603399</v>
      </c>
      <c r="B940" t="s">
        <v>1108</v>
      </c>
      <c r="C940">
        <v>1.52</v>
      </c>
      <c r="D940">
        <v>10.68</v>
      </c>
      <c r="E940">
        <v>0.16</v>
      </c>
      <c r="F940">
        <v>10.67</v>
      </c>
      <c r="G940">
        <v>10.68</v>
      </c>
      <c r="H940">
        <v>22319</v>
      </c>
      <c r="I940">
        <v>6</v>
      </c>
      <c r="J940">
        <v>0.09</v>
      </c>
      <c r="K940">
        <v>2.61</v>
      </c>
      <c r="L940">
        <v>10.57</v>
      </c>
      <c r="M940">
        <v>10.69</v>
      </c>
      <c r="N940">
        <v>10.4</v>
      </c>
      <c r="O940">
        <v>10.52</v>
      </c>
      <c r="P940">
        <v>54.16</v>
      </c>
      <c r="Q940">
        <v>23613530</v>
      </c>
      <c r="R940">
        <v>0.82</v>
      </c>
      <c r="S940" t="s">
        <v>193</v>
      </c>
      <c r="T940" t="s">
        <v>142</v>
      </c>
      <c r="U940">
        <v>2.76</v>
      </c>
      <c r="V940">
        <v>10.58</v>
      </c>
      <c r="W940">
        <v>9439</v>
      </c>
      <c r="X940">
        <v>12880</v>
      </c>
      <c r="Y940">
        <v>0.73</v>
      </c>
      <c r="Z940">
        <v>104</v>
      </c>
      <c r="AA940">
        <v>67</v>
      </c>
      <c r="AB940" t="s">
        <v>31</v>
      </c>
    </row>
    <row r="941" spans="1:28">
      <c r="A941" t="str">
        <f>"603766"</f>
        <v>603766</v>
      </c>
      <c r="B941" t="s">
        <v>1109</v>
      </c>
      <c r="C941">
        <v>5.89</v>
      </c>
      <c r="D941">
        <v>8.99</v>
      </c>
      <c r="E941">
        <v>0.5</v>
      </c>
      <c r="F941">
        <v>8.99</v>
      </c>
      <c r="G941">
        <v>9</v>
      </c>
      <c r="H941">
        <v>179788</v>
      </c>
      <c r="I941">
        <v>113</v>
      </c>
      <c r="J941">
        <v>0.11</v>
      </c>
      <c r="K941">
        <v>4.74</v>
      </c>
      <c r="L941">
        <v>8.4499999999999993</v>
      </c>
      <c r="M941">
        <v>9.06</v>
      </c>
      <c r="N941">
        <v>8.34</v>
      </c>
      <c r="O941">
        <v>8.49</v>
      </c>
      <c r="P941">
        <v>12.8</v>
      </c>
      <c r="Q941">
        <v>158971504</v>
      </c>
      <c r="R941">
        <v>1.1499999999999999</v>
      </c>
      <c r="S941" t="s">
        <v>175</v>
      </c>
      <c r="T941" t="s">
        <v>184</v>
      </c>
      <c r="U941">
        <v>8.48</v>
      </c>
      <c r="V941">
        <v>8.84</v>
      </c>
      <c r="W941">
        <v>81889</v>
      </c>
      <c r="X941">
        <v>97899</v>
      </c>
      <c r="Y941">
        <v>0.84</v>
      </c>
      <c r="Z941">
        <v>48</v>
      </c>
      <c r="AA941">
        <v>416</v>
      </c>
      <c r="AB941" t="s">
        <v>31</v>
      </c>
    </row>
    <row r="942" spans="1:28">
      <c r="A942" t="str">
        <f>"603993"</f>
        <v>603993</v>
      </c>
      <c r="B942" t="s">
        <v>1110</v>
      </c>
      <c r="C942">
        <v>1.4</v>
      </c>
      <c r="D942">
        <v>6.53</v>
      </c>
      <c r="E942">
        <v>0.09</v>
      </c>
      <c r="F942">
        <v>6.54</v>
      </c>
      <c r="G942">
        <v>6.55</v>
      </c>
      <c r="H942">
        <v>32000</v>
      </c>
      <c r="I942">
        <v>5</v>
      </c>
      <c r="J942">
        <v>0</v>
      </c>
      <c r="K942">
        <v>0.16</v>
      </c>
      <c r="L942">
        <v>6.44</v>
      </c>
      <c r="M942">
        <v>6.54</v>
      </c>
      <c r="N942">
        <v>6.31</v>
      </c>
      <c r="O942">
        <v>6.44</v>
      </c>
      <c r="P942">
        <v>27.55</v>
      </c>
      <c r="Q942">
        <v>20770274</v>
      </c>
      <c r="R942">
        <v>0.67</v>
      </c>
      <c r="S942" t="s">
        <v>193</v>
      </c>
      <c r="T942" t="s">
        <v>61</v>
      </c>
      <c r="U942">
        <v>3.57</v>
      </c>
      <c r="V942">
        <v>6.49</v>
      </c>
      <c r="W942">
        <v>13527</v>
      </c>
      <c r="X942">
        <v>18473</v>
      </c>
      <c r="Y942">
        <v>0.73</v>
      </c>
      <c r="Z942">
        <v>159</v>
      </c>
      <c r="AA942">
        <v>658</v>
      </c>
      <c r="AB942" t="s">
        <v>31</v>
      </c>
    </row>
    <row r="943" spans="1:28">
      <c r="A943" t="s">
        <v>1111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上证Ａ股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</dc:creator>
  <cp:lastModifiedBy>Stephen</cp:lastModifiedBy>
  <dcterms:created xsi:type="dcterms:W3CDTF">2013-10-30T13:36:07Z</dcterms:created>
  <dcterms:modified xsi:type="dcterms:W3CDTF">2013-10-30T13:36:07Z</dcterms:modified>
</cp:coreProperties>
</file>